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5C552FC5-7CBF-4C59-955C-4710BDAE8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Y24" i="3" l="1"/>
  <c r="X24" i="3"/>
  <c r="U24" i="3"/>
  <c r="R24" i="3"/>
  <c r="L24" i="3"/>
  <c r="K24" i="3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C3273" i="14"/>
  <c r="C3361" i="14" s="1"/>
  <c r="B3273" i="14"/>
  <c r="B3361" i="14" s="1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B3187" i="14"/>
  <c r="E3186" i="14"/>
  <c r="C3186" i="14"/>
  <c r="C3274" i="14" s="1"/>
  <c r="C3362" i="14" s="1"/>
  <c r="C3450" i="14" s="1"/>
  <c r="C3538" i="14" s="1"/>
  <c r="C3626" i="14" s="1"/>
  <c r="B3186" i="14"/>
  <c r="B3274" i="14" s="1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C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C2619" i="14"/>
  <c r="E2618" i="14"/>
  <c r="C2618" i="14"/>
  <c r="B2618" i="14"/>
  <c r="B2645" i="14" s="1"/>
  <c r="B2672" i="14" s="1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C2594" i="14"/>
  <c r="B2594" i="14"/>
  <c r="E2593" i="14"/>
  <c r="B2593" i="14"/>
  <c r="E2592" i="14"/>
  <c r="C2592" i="14"/>
  <c r="C2593" i="14" s="1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B2504" i="14"/>
  <c r="E2503" i="14"/>
  <c r="E2502" i="14"/>
  <c r="B2502" i="14"/>
  <c r="B2503" i="14" s="1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B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C772" i="14"/>
  <c r="E771" i="14"/>
  <c r="C771" i="14"/>
  <c r="C862" i="14" s="1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C682" i="14"/>
  <c r="E681" i="14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C591" i="14"/>
  <c r="C592" i="14" s="1"/>
  <c r="E590" i="14"/>
  <c r="C590" i="14"/>
  <c r="C681" i="14" s="1"/>
  <c r="B590" i="14"/>
  <c r="B591" i="14" s="1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B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B265" i="14"/>
  <c r="E264" i="14"/>
  <c r="B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B201" i="14"/>
  <c r="E200" i="14"/>
  <c r="B200" i="14"/>
  <c r="E199" i="14"/>
  <c r="B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B137" i="14"/>
  <c r="E136" i="14"/>
  <c r="B136" i="14"/>
  <c r="E135" i="14"/>
  <c r="B135" i="14"/>
  <c r="E134" i="14"/>
  <c r="C134" i="14"/>
  <c r="C199" i="14" s="1"/>
  <c r="C264" i="14" s="1"/>
  <c r="C329" i="14" s="1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B73" i="14"/>
  <c r="E72" i="14"/>
  <c r="B72" i="14"/>
  <c r="E71" i="14"/>
  <c r="B71" i="14"/>
  <c r="E70" i="14"/>
  <c r="C70" i="14"/>
  <c r="C135" i="14" s="1"/>
  <c r="C200" i="14" s="1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C6" i="14"/>
  <c r="C7" i="14" s="1"/>
  <c r="C8" i="14" s="1"/>
  <c r="E5" i="14"/>
  <c r="C5" i="14"/>
  <c r="B5" i="14"/>
  <c r="B6" i="14" s="1"/>
  <c r="B7" i="14" s="1"/>
  <c r="E4" i="14"/>
  <c r="F3186" i="14"/>
  <c r="G5" i="14"/>
  <c r="F70" i="14"/>
  <c r="F134" i="14"/>
  <c r="G3450" i="14"/>
  <c r="G7" i="14"/>
  <c r="G3538" i="14"/>
  <c r="F590" i="14"/>
  <c r="F2409" i="14"/>
  <c r="G680" i="14"/>
  <c r="G264" i="14"/>
  <c r="F3273" i="14"/>
  <c r="G589" i="14"/>
  <c r="G2618" i="14"/>
  <c r="F2591" i="14"/>
  <c r="F71" i="14"/>
  <c r="F2645" i="14"/>
  <c r="G135" i="14"/>
  <c r="F2501" i="14"/>
  <c r="G4" i="14"/>
  <c r="G3362" i="14"/>
  <c r="F200" i="14"/>
  <c r="G3273" i="14"/>
  <c r="F4" i="14"/>
  <c r="F199" i="14"/>
  <c r="G200" i="14"/>
  <c r="G771" i="14"/>
  <c r="G3274" i="14"/>
  <c r="F135" i="14"/>
  <c r="G69" i="14"/>
  <c r="F2500" i="14"/>
  <c r="G3185" i="14"/>
  <c r="G6" i="14"/>
  <c r="F2410" i="14"/>
  <c r="F72" i="14"/>
  <c r="G2592" i="14"/>
  <c r="G681" i="14"/>
  <c r="F136" i="14"/>
  <c r="F2503" i="14"/>
  <c r="F2618" i="14"/>
  <c r="F2502" i="14"/>
  <c r="G591" i="14"/>
  <c r="G3186" i="14"/>
  <c r="F264" i="14"/>
  <c r="F3185" i="14"/>
  <c r="F69" i="14"/>
  <c r="F2594" i="14"/>
  <c r="G2591" i="14"/>
  <c r="F589" i="14"/>
  <c r="C394" i="14" l="1"/>
  <c r="B592" i="14"/>
  <c r="C683" i="14"/>
  <c r="C593" i="14"/>
  <c r="B266" i="14"/>
  <c r="B330" i="14"/>
  <c r="B394" i="14"/>
  <c r="C265" i="14"/>
  <c r="C773" i="14"/>
  <c r="B138" i="14"/>
  <c r="B74" i="14"/>
  <c r="C863" i="14"/>
  <c r="B8" i="14"/>
  <c r="C953" i="14"/>
  <c r="C9" i="14"/>
  <c r="B202" i="14"/>
  <c r="C71" i="14"/>
  <c r="C2672" i="14"/>
  <c r="B2505" i="14"/>
  <c r="C2595" i="14"/>
  <c r="C2621" i="14"/>
  <c r="C3714" i="14"/>
  <c r="B2412" i="14"/>
  <c r="C2620" i="14"/>
  <c r="B3449" i="14"/>
  <c r="C2646" i="14"/>
  <c r="B2620" i="14"/>
  <c r="B2595" i="14"/>
  <c r="B2621" i="14"/>
  <c r="B2699" i="14"/>
  <c r="C3449" i="14"/>
  <c r="B3188" i="14"/>
  <c r="B3275" i="14"/>
  <c r="B2619" i="14"/>
  <c r="B3362" i="14"/>
  <c r="C3187" i="14"/>
  <c r="G70" i="14"/>
  <c r="H3450" i="14" a="1"/>
  <c r="H69" i="14" a="1"/>
  <c r="H591" i="14" a="1"/>
  <c r="H6" i="14" a="1"/>
  <c r="G8" i="14"/>
  <c r="G592" i="14"/>
  <c r="F2592" i="14"/>
  <c r="G2645" i="14"/>
  <c r="H3274" i="14" a="1"/>
  <c r="F329" i="14"/>
  <c r="H771" i="14" a="1"/>
  <c r="G2619" i="14"/>
  <c r="H3362" i="14" a="1"/>
  <c r="H4" i="14" a="1"/>
  <c r="F3274" i="14"/>
  <c r="F2672" i="14"/>
  <c r="G329" i="14"/>
  <c r="F5" i="14"/>
  <c r="G590" i="14"/>
  <c r="F591" i="14"/>
  <c r="H680" i="14" a="1"/>
  <c r="H3273" i="14" a="1"/>
  <c r="F2411" i="14"/>
  <c r="H2591" i="14" a="1"/>
  <c r="F3361" i="14"/>
  <c r="F73" i="14"/>
  <c r="H200" i="14" a="1"/>
  <c r="F6" i="14"/>
  <c r="H7" i="14" a="1"/>
  <c r="F2593" i="14"/>
  <c r="G199" i="14"/>
  <c r="H589" i="14" a="1"/>
  <c r="G3361" i="14"/>
  <c r="H3538" i="14" a="1"/>
  <c r="H2618" i="14" a="1"/>
  <c r="G772" i="14"/>
  <c r="G134" i="14"/>
  <c r="G3626" i="14"/>
  <c r="F265" i="14"/>
  <c r="H3185" i="14" a="1"/>
  <c r="H135" i="14" a="1"/>
  <c r="H264" i="14" a="1"/>
  <c r="G862" i="14"/>
  <c r="H3186" i="14" a="1"/>
  <c r="F2504" i="14"/>
  <c r="F3187" i="14"/>
  <c r="G2593" i="14"/>
  <c r="G682" i="14"/>
  <c r="G2594" i="14"/>
  <c r="F201" i="14"/>
  <c r="F7" i="14"/>
  <c r="F137" i="14"/>
  <c r="H2592" i="14" a="1"/>
  <c r="H681" i="14" a="1"/>
  <c r="H3450" i="14" l="1"/>
  <c r="H589" i="14"/>
  <c r="H2618" i="14"/>
  <c r="H2591" i="14"/>
  <c r="H7" i="14"/>
  <c r="H3185" i="14"/>
  <c r="H680" i="14"/>
  <c r="H69" i="14"/>
  <c r="H3538" i="14"/>
  <c r="H771" i="14"/>
  <c r="H264" i="14"/>
  <c r="H681" i="14"/>
  <c r="H3186" i="14"/>
  <c r="H3273" i="14"/>
  <c r="H591" i="14"/>
  <c r="H2592" i="14"/>
  <c r="H3362" i="14"/>
  <c r="H200" i="14"/>
  <c r="H3274" i="14"/>
  <c r="H4" i="14"/>
  <c r="H135" i="14"/>
  <c r="H6" i="14"/>
  <c r="B3363" i="14"/>
  <c r="C2647" i="14"/>
  <c r="B267" i="14"/>
  <c r="C330" i="14"/>
  <c r="B3276" i="14"/>
  <c r="B3189" i="14"/>
  <c r="C954" i="14"/>
  <c r="B459" i="14"/>
  <c r="C3275" i="14"/>
  <c r="C3188" i="14"/>
  <c r="C3802" i="14"/>
  <c r="C2699" i="14"/>
  <c r="C10" i="14"/>
  <c r="B75" i="14"/>
  <c r="B139" i="14"/>
  <c r="C774" i="14"/>
  <c r="B3537" i="14"/>
  <c r="C2648" i="14"/>
  <c r="C864" i="14"/>
  <c r="C459" i="14"/>
  <c r="C2596" i="14"/>
  <c r="C2622" i="14"/>
  <c r="C594" i="14"/>
  <c r="C684" i="14"/>
  <c r="B203" i="14"/>
  <c r="B395" i="14"/>
  <c r="B593" i="14"/>
  <c r="B331" i="14"/>
  <c r="B2646" i="14"/>
  <c r="B2648" i="14"/>
  <c r="B2596" i="14"/>
  <c r="B2622" i="14"/>
  <c r="B2506" i="14"/>
  <c r="B9" i="14"/>
  <c r="B2413" i="14"/>
  <c r="B2647" i="14"/>
  <c r="B3450" i="14"/>
  <c r="C3537" i="14"/>
  <c r="C2673" i="14"/>
  <c r="C72" i="14"/>
  <c r="C136" i="14"/>
  <c r="C1044" i="14"/>
  <c r="B2726" i="14"/>
  <c r="H3626" i="14" a="1"/>
  <c r="H199" i="14" a="1"/>
  <c r="G2646" i="14"/>
  <c r="F3449" i="14"/>
  <c r="G394" i="14"/>
  <c r="F8" i="14"/>
  <c r="H2594" i="14" a="1"/>
  <c r="H592" i="14" a="1"/>
  <c r="G2621" i="14"/>
  <c r="F3362" i="14"/>
  <c r="H772" i="14" a="1"/>
  <c r="G683" i="14"/>
  <c r="G953" i="14"/>
  <c r="F266" i="14"/>
  <c r="G9" i="14"/>
  <c r="F330" i="14"/>
  <c r="G3449" i="14"/>
  <c r="F74" i="14"/>
  <c r="H682" i="14" a="1"/>
  <c r="F592" i="14"/>
  <c r="F2619" i="14"/>
  <c r="H590" i="14" a="1"/>
  <c r="H2645" i="14" a="1"/>
  <c r="F394" i="14"/>
  <c r="F138" i="14"/>
  <c r="H2593" i="14" a="1"/>
  <c r="H8" i="14" a="1"/>
  <c r="G3714" i="14"/>
  <c r="G863" i="14"/>
  <c r="F3188" i="14"/>
  <c r="F2621" i="14"/>
  <c r="G2595" i="14"/>
  <c r="H862" i="14" a="1"/>
  <c r="H134" i="14" a="1"/>
  <c r="G2672" i="14"/>
  <c r="F2620" i="14"/>
  <c r="F3275" i="14"/>
  <c r="H329" i="14" a="1"/>
  <c r="G593" i="14"/>
  <c r="G3187" i="14"/>
  <c r="G71" i="14"/>
  <c r="H3361" i="14" a="1"/>
  <c r="H2619" i="14" a="1"/>
  <c r="F202" i="14"/>
  <c r="F2595" i="14"/>
  <c r="H70" i="14" a="1"/>
  <c r="F2699" i="14"/>
  <c r="G2620" i="14"/>
  <c r="F2505" i="14"/>
  <c r="F2412" i="14"/>
  <c r="G265" i="14"/>
  <c r="G773" i="14"/>
  <c r="H862" i="14" l="1"/>
  <c r="H682" i="14"/>
  <c r="H590" i="14"/>
  <c r="H3626" i="14"/>
  <c r="H2645" i="14"/>
  <c r="H3361" i="14"/>
  <c r="H772" i="14"/>
  <c r="H2594" i="14"/>
  <c r="H2593" i="14"/>
  <c r="H2619" i="14"/>
  <c r="H70" i="14"/>
  <c r="H592" i="14"/>
  <c r="H199" i="14"/>
  <c r="H329" i="14"/>
  <c r="H134" i="14"/>
  <c r="H8" i="14"/>
  <c r="C73" i="14"/>
  <c r="C137" i="14"/>
  <c r="B2674" i="14"/>
  <c r="B594" i="14"/>
  <c r="C2675" i="14"/>
  <c r="C3363" i="14"/>
  <c r="B2597" i="14"/>
  <c r="B2623" i="14"/>
  <c r="C395" i="14"/>
  <c r="B2753" i="14"/>
  <c r="C2700" i="14"/>
  <c r="B2414" i="14"/>
  <c r="B2675" i="14"/>
  <c r="B460" i="14"/>
  <c r="C2649" i="14"/>
  <c r="C11" i="14"/>
  <c r="B524" i="14"/>
  <c r="C2623" i="14"/>
  <c r="C2597" i="14"/>
  <c r="B3625" i="14"/>
  <c r="B332" i="14"/>
  <c r="C1135" i="14"/>
  <c r="C3625" i="14"/>
  <c r="B10" i="14"/>
  <c r="B268" i="14"/>
  <c r="C524" i="14"/>
  <c r="C865" i="14"/>
  <c r="C2726" i="14"/>
  <c r="C1045" i="14"/>
  <c r="B3538" i="14"/>
  <c r="B2507" i="14"/>
  <c r="B2673" i="14"/>
  <c r="C3890" i="14"/>
  <c r="B2649" i="14"/>
  <c r="B396" i="14"/>
  <c r="C775" i="14"/>
  <c r="B204" i="14"/>
  <c r="B3190" i="14"/>
  <c r="B3277" i="14"/>
  <c r="C2674" i="14"/>
  <c r="C201" i="14"/>
  <c r="C685" i="14"/>
  <c r="C595" i="14"/>
  <c r="C955" i="14"/>
  <c r="B140" i="14"/>
  <c r="B76" i="14"/>
  <c r="C3189" i="14"/>
  <c r="C3276" i="14"/>
  <c r="B3364" i="14"/>
  <c r="B3451" i="14"/>
  <c r="F9" i="14"/>
  <c r="G774" i="14"/>
  <c r="H265" i="14" a="1"/>
  <c r="F2596" i="14"/>
  <c r="F2648" i="14"/>
  <c r="F593" i="14"/>
  <c r="G2596" i="14"/>
  <c r="H773" i="14" a="1"/>
  <c r="G2647" i="14"/>
  <c r="G330" i="14"/>
  <c r="F267" i="14"/>
  <c r="H3449" i="14" a="1"/>
  <c r="F395" i="14"/>
  <c r="G524" i="14"/>
  <c r="F2647" i="14"/>
  <c r="F3189" i="14"/>
  <c r="F3363" i="14"/>
  <c r="F203" i="14"/>
  <c r="H394" i="14" a="1"/>
  <c r="G3802" i="14"/>
  <c r="G2648" i="14"/>
  <c r="G136" i="14"/>
  <c r="F524" i="14"/>
  <c r="H2672" i="14" a="1"/>
  <c r="F2646" i="14"/>
  <c r="G459" i="14"/>
  <c r="H71" i="14" a="1"/>
  <c r="H593" i="14" a="1"/>
  <c r="F2506" i="14"/>
  <c r="F2413" i="14"/>
  <c r="G684" i="14"/>
  <c r="F3276" i="14"/>
  <c r="G72" i="14"/>
  <c r="H2646" i="14" a="1"/>
  <c r="H9" i="14" a="1"/>
  <c r="F3537" i="14"/>
  <c r="F331" i="14"/>
  <c r="G2699" i="14"/>
  <c r="G1044" i="14"/>
  <c r="H953" i="14" a="1"/>
  <c r="F2726" i="14"/>
  <c r="F75" i="14"/>
  <c r="H2620" i="14" a="1"/>
  <c r="H3714" i="14" a="1"/>
  <c r="G10" i="14"/>
  <c r="G2622" i="14"/>
  <c r="F2622" i="14"/>
  <c r="G2673" i="14"/>
  <c r="G864" i="14"/>
  <c r="F3450" i="14"/>
  <c r="F139" i="14"/>
  <c r="G954" i="14"/>
  <c r="G594" i="14"/>
  <c r="H683" i="14" a="1"/>
  <c r="G3537" i="14"/>
  <c r="H863" i="14" a="1"/>
  <c r="H2595" i="14" a="1"/>
  <c r="F459" i="14"/>
  <c r="G3275" i="14"/>
  <c r="H3187" i="14" a="1"/>
  <c r="H2621" i="14" a="1"/>
  <c r="G3188" i="14"/>
  <c r="H3714" i="14" l="1"/>
  <c r="H593" i="14"/>
  <c r="H3449" i="14"/>
  <c r="H71" i="14"/>
  <c r="H2620" i="14"/>
  <c r="H863" i="14"/>
  <c r="H683" i="14"/>
  <c r="H2621" i="14"/>
  <c r="H953" i="14"/>
  <c r="H2672" i="14"/>
  <c r="H773" i="14"/>
  <c r="H265" i="14"/>
  <c r="H3187" i="14"/>
  <c r="H9" i="14"/>
  <c r="H394" i="14"/>
  <c r="H2595" i="14"/>
  <c r="H2646" i="14"/>
  <c r="C776" i="14"/>
  <c r="B333" i="14"/>
  <c r="C12" i="14"/>
  <c r="B2700" i="14"/>
  <c r="B11" i="14"/>
  <c r="B2701" i="14"/>
  <c r="B205" i="14"/>
  <c r="C866" i="14"/>
  <c r="C2676" i="14"/>
  <c r="B2598" i="14"/>
  <c r="B2624" i="14"/>
  <c r="B2508" i="14"/>
  <c r="C3451" i="14"/>
  <c r="B3365" i="14"/>
  <c r="B461" i="14"/>
  <c r="C956" i="14"/>
  <c r="C3713" i="14"/>
  <c r="C2650" i="14"/>
  <c r="B2780" i="14"/>
  <c r="C138" i="14"/>
  <c r="C74" i="14"/>
  <c r="C1136" i="14"/>
  <c r="B2702" i="14"/>
  <c r="C266" i="14"/>
  <c r="C3978" i="14"/>
  <c r="B2650" i="14"/>
  <c r="B595" i="14"/>
  <c r="B3539" i="14"/>
  <c r="B141" i="14"/>
  <c r="B77" i="14"/>
  <c r="C2753" i="14"/>
  <c r="B3713" i="14"/>
  <c r="C2598" i="14"/>
  <c r="C2624" i="14"/>
  <c r="C2727" i="14"/>
  <c r="C202" i="14"/>
  <c r="C3364" i="14"/>
  <c r="B3191" i="14"/>
  <c r="B3278" i="14"/>
  <c r="B2676" i="14"/>
  <c r="B3626" i="14"/>
  <c r="B525" i="14"/>
  <c r="B269" i="14"/>
  <c r="B397" i="14"/>
  <c r="B2415" i="14"/>
  <c r="C2701" i="14"/>
  <c r="B3452" i="14"/>
  <c r="C1046" i="14"/>
  <c r="C3190" i="14"/>
  <c r="C3277" i="14"/>
  <c r="C596" i="14"/>
  <c r="C686" i="14"/>
  <c r="C1226" i="14"/>
  <c r="C460" i="14"/>
  <c r="C2702" i="14"/>
  <c r="H3802" i="14" a="1"/>
  <c r="F204" i="14"/>
  <c r="H2596" i="14" a="1"/>
  <c r="H684" i="14" a="1"/>
  <c r="G3625" i="14"/>
  <c r="F2673" i="14"/>
  <c r="F2675" i="14"/>
  <c r="F2674" i="14"/>
  <c r="G2597" i="14"/>
  <c r="H954" i="14" a="1"/>
  <c r="F3538" i="14"/>
  <c r="F3190" i="14"/>
  <c r="F76" i="14"/>
  <c r="H2699" i="14" a="1"/>
  <c r="G2674" i="14"/>
  <c r="G2623" i="14"/>
  <c r="F460" i="14"/>
  <c r="H1044" i="14" a="1"/>
  <c r="F2507" i="14"/>
  <c r="F525" i="14"/>
  <c r="H594" i="14" a="1"/>
  <c r="G865" i="14"/>
  <c r="G595" i="14"/>
  <c r="F10" i="14"/>
  <c r="H10" i="14" a="1"/>
  <c r="G2700" i="14"/>
  <c r="G955" i="14"/>
  <c r="F594" i="14"/>
  <c r="H136" i="14" a="1"/>
  <c r="G3276" i="14"/>
  <c r="G2726" i="14"/>
  <c r="H2648" i="14" a="1"/>
  <c r="G137" i="14"/>
  <c r="H524" i="14" a="1"/>
  <c r="F2597" i="14"/>
  <c r="F2753" i="14"/>
  <c r="H2622" i="14" a="1"/>
  <c r="H864" i="14" a="1"/>
  <c r="G11" i="14"/>
  <c r="F396" i="14"/>
  <c r="G3363" i="14"/>
  <c r="F2623" i="14"/>
  <c r="F3364" i="14"/>
  <c r="H3188" i="14" a="1"/>
  <c r="F2649" i="14"/>
  <c r="H2647" i="14" a="1"/>
  <c r="G2675" i="14"/>
  <c r="G395" i="14"/>
  <c r="H2673" i="14" a="1"/>
  <c r="F332" i="14"/>
  <c r="F268" i="14"/>
  <c r="H459" i="14" a="1"/>
  <c r="F3625" i="14"/>
  <c r="H774" i="14" a="1"/>
  <c r="G2649" i="14"/>
  <c r="G3189" i="14"/>
  <c r="G1045" i="14"/>
  <c r="H3275" i="14" a="1"/>
  <c r="G73" i="14"/>
  <c r="F140" i="14"/>
  <c r="G775" i="14"/>
  <c r="H72" i="14" a="1"/>
  <c r="G3890" i="14"/>
  <c r="G685" i="14"/>
  <c r="F3277" i="14"/>
  <c r="H3537" i="14" a="1"/>
  <c r="G1135" i="14"/>
  <c r="F2414" i="14"/>
  <c r="H330" i="14" a="1"/>
  <c r="F3451" i="14"/>
  <c r="G201" i="14"/>
  <c r="H1044" i="14" l="1"/>
  <c r="H524" i="14"/>
  <c r="H3537" i="14"/>
  <c r="H684" i="14"/>
  <c r="H2647" i="14"/>
  <c r="H954" i="14"/>
  <c r="H459" i="14"/>
  <c r="H774" i="14"/>
  <c r="H2673" i="14"/>
  <c r="H72" i="14"/>
  <c r="H10" i="14"/>
  <c r="H330" i="14"/>
  <c r="H864" i="14"/>
  <c r="H2622" i="14"/>
  <c r="H2648" i="14"/>
  <c r="H2699" i="14"/>
  <c r="H3188" i="14"/>
  <c r="H3275" i="14"/>
  <c r="H594" i="14"/>
  <c r="H136" i="14"/>
  <c r="H2596" i="14"/>
  <c r="H3802" i="14"/>
  <c r="B3366" i="14"/>
  <c r="C2754" i="14"/>
  <c r="B2677" i="14"/>
  <c r="B334" i="14"/>
  <c r="B142" i="14"/>
  <c r="B78" i="14"/>
  <c r="C139" i="14"/>
  <c r="C75" i="14"/>
  <c r="C957" i="14"/>
  <c r="C687" i="14"/>
  <c r="C597" i="14"/>
  <c r="B3279" i="14"/>
  <c r="B3192" i="14"/>
  <c r="C2651" i="14"/>
  <c r="B206" i="14"/>
  <c r="C13" i="14"/>
  <c r="B270" i="14"/>
  <c r="B2416" i="14"/>
  <c r="C267" i="14"/>
  <c r="B3801" i="14"/>
  <c r="B2729" i="14"/>
  <c r="B2807" i="14"/>
  <c r="B526" i="14"/>
  <c r="B2651" i="14"/>
  <c r="B462" i="14"/>
  <c r="B12" i="14"/>
  <c r="B3540" i="14"/>
  <c r="C1227" i="14"/>
  <c r="C3801" i="14"/>
  <c r="C3539" i="14"/>
  <c r="C2703" i="14"/>
  <c r="C867" i="14"/>
  <c r="C777" i="14"/>
  <c r="C4066" i="14"/>
  <c r="C203" i="14"/>
  <c r="C1047" i="14"/>
  <c r="B2727" i="14"/>
  <c r="C2729" i="14"/>
  <c r="C3365" i="14"/>
  <c r="C2728" i="14"/>
  <c r="C3452" i="14"/>
  <c r="C2599" i="14"/>
  <c r="C2625" i="14"/>
  <c r="B3627" i="14"/>
  <c r="C331" i="14"/>
  <c r="B2509" i="14"/>
  <c r="C525" i="14"/>
  <c r="C3191" i="14"/>
  <c r="C3278" i="14"/>
  <c r="B3714" i="14"/>
  <c r="C1317" i="14"/>
  <c r="C1137" i="14"/>
  <c r="B2703" i="14"/>
  <c r="C2780" i="14"/>
  <c r="B596" i="14"/>
  <c r="C2677" i="14"/>
  <c r="B3453" i="14"/>
  <c r="B2599" i="14"/>
  <c r="B2625" i="14"/>
  <c r="B2728" i="14"/>
  <c r="B398" i="14"/>
  <c r="G266" i="14"/>
  <c r="H201" i="14" a="1"/>
  <c r="G12" i="14"/>
  <c r="F3278" i="14"/>
  <c r="G3277" i="14"/>
  <c r="G3713" i="14"/>
  <c r="H685" i="14" a="1"/>
  <c r="G2701" i="14"/>
  <c r="F3452" i="14"/>
  <c r="G2727" i="14"/>
  <c r="H3189" i="14" a="1"/>
  <c r="F2702" i="14"/>
  <c r="G1226" i="14"/>
  <c r="G2624" i="14"/>
  <c r="F11" i="14"/>
  <c r="G596" i="14"/>
  <c r="G460" i="14"/>
  <c r="G2753" i="14"/>
  <c r="G776" i="14"/>
  <c r="G1046" i="14"/>
  <c r="H2649" i="14" a="1"/>
  <c r="F3539" i="14"/>
  <c r="G3978" i="14"/>
  <c r="H11" i="14" a="1"/>
  <c r="F205" i="14"/>
  <c r="H865" i="14" a="1"/>
  <c r="H3625" i="14" a="1"/>
  <c r="G202" i="14"/>
  <c r="G3364" i="14"/>
  <c r="H2674" i="14" a="1"/>
  <c r="G2598" i="14"/>
  <c r="H3890" i="14" a="1"/>
  <c r="F141" i="14"/>
  <c r="F2508" i="14"/>
  <c r="G866" i="14"/>
  <c r="H137" i="14" a="1"/>
  <c r="H395" i="14" a="1"/>
  <c r="H1135" i="14" a="1"/>
  <c r="H3276" i="14" a="1"/>
  <c r="F397" i="14"/>
  <c r="H775" i="14" a="1"/>
  <c r="F2780" i="14"/>
  <c r="F3365" i="14"/>
  <c r="F3191" i="14"/>
  <c r="G2702" i="14"/>
  <c r="H2597" i="14" a="1"/>
  <c r="H73" i="14" a="1"/>
  <c r="G2676" i="14"/>
  <c r="G956" i="14"/>
  <c r="G686" i="14"/>
  <c r="G3190" i="14"/>
  <c r="H1045" i="14" a="1"/>
  <c r="F526" i="14"/>
  <c r="F3713" i="14"/>
  <c r="H595" i="14" a="1"/>
  <c r="G525" i="14"/>
  <c r="H2675" i="14" a="1"/>
  <c r="F461" i="14"/>
  <c r="F2598" i="14"/>
  <c r="G3451" i="14"/>
  <c r="H2623" i="14" a="1"/>
  <c r="H2726" i="14" a="1"/>
  <c r="G74" i="14"/>
  <c r="F269" i="14"/>
  <c r="H955" i="14" a="1"/>
  <c r="F2676" i="14"/>
  <c r="G1136" i="14"/>
  <c r="H3363" i="14" a="1"/>
  <c r="F2701" i="14"/>
  <c r="F2650" i="14"/>
  <c r="F2700" i="14"/>
  <c r="F595" i="14"/>
  <c r="F77" i="14"/>
  <c r="H2700" i="14" a="1"/>
  <c r="G2650" i="14"/>
  <c r="F3626" i="14"/>
  <c r="G138" i="14"/>
  <c r="F333" i="14"/>
  <c r="F2415" i="14"/>
  <c r="F2624" i="14"/>
  <c r="H395" i="14" l="1"/>
  <c r="H3189" i="14"/>
  <c r="H955" i="14"/>
  <c r="H137" i="14"/>
  <c r="H11" i="14"/>
  <c r="H3276" i="14"/>
  <c r="H2597" i="14"/>
  <c r="H2726" i="14"/>
  <c r="H3890" i="14"/>
  <c r="H775" i="14"/>
  <c r="H2649" i="14"/>
  <c r="H2623" i="14"/>
  <c r="H73" i="14"/>
  <c r="H2700" i="14"/>
  <c r="H685" i="14"/>
  <c r="H2675" i="14"/>
  <c r="H3625" i="14"/>
  <c r="H201" i="14"/>
  <c r="H595" i="14"/>
  <c r="H3363" i="14"/>
  <c r="H865" i="14"/>
  <c r="H2674" i="14"/>
  <c r="H1135" i="14"/>
  <c r="H1045" i="14"/>
  <c r="C2652" i="14"/>
  <c r="B2652" i="14"/>
  <c r="B597" i="14"/>
  <c r="C2600" i="14"/>
  <c r="C2626" i="14"/>
  <c r="B2834" i="14"/>
  <c r="B2417" i="14"/>
  <c r="B399" i="14"/>
  <c r="C1138" i="14"/>
  <c r="B2678" i="14"/>
  <c r="B3889" i="14"/>
  <c r="C1408" i="14"/>
  <c r="C2756" i="14"/>
  <c r="C2678" i="14"/>
  <c r="C1048" i="14"/>
  <c r="B2600" i="14"/>
  <c r="B2626" i="14"/>
  <c r="C76" i="14"/>
  <c r="C140" i="14"/>
  <c r="B3802" i="14"/>
  <c r="C396" i="14"/>
  <c r="C868" i="14"/>
  <c r="C4154" i="14"/>
  <c r="C3627" i="14"/>
  <c r="B13" i="14"/>
  <c r="B2510" i="14"/>
  <c r="C3540" i="14"/>
  <c r="C3889" i="14"/>
  <c r="B2756" i="14"/>
  <c r="C2807" i="14"/>
  <c r="B2754" i="14"/>
  <c r="B527" i="14"/>
  <c r="B335" i="14"/>
  <c r="B3280" i="14"/>
  <c r="B3193" i="14"/>
  <c r="C204" i="14"/>
  <c r="B2704" i="14"/>
  <c r="B3541" i="14"/>
  <c r="C3366" i="14"/>
  <c r="C2755" i="14"/>
  <c r="C958" i="14"/>
  <c r="C1318" i="14"/>
  <c r="C14" i="14"/>
  <c r="B3367" i="14"/>
  <c r="C2781" i="14"/>
  <c r="B2730" i="14"/>
  <c r="C3192" i="14"/>
  <c r="C3279" i="14"/>
  <c r="B463" i="14"/>
  <c r="B3715" i="14"/>
  <c r="C3453" i="14"/>
  <c r="C268" i="14"/>
  <c r="B3628" i="14"/>
  <c r="C332" i="14"/>
  <c r="C688" i="14"/>
  <c r="C598" i="14"/>
  <c r="B143" i="14"/>
  <c r="B79" i="14"/>
  <c r="B2755" i="14"/>
  <c r="C2704" i="14"/>
  <c r="C1228" i="14"/>
  <c r="C2730" i="14"/>
  <c r="B271" i="14"/>
  <c r="C778" i="14"/>
  <c r="B207" i="14"/>
  <c r="B3454" i="14"/>
  <c r="G331" i="14"/>
  <c r="F12" i="14"/>
  <c r="G3452" i="14"/>
  <c r="G3278" i="14"/>
  <c r="G3365" i="14"/>
  <c r="G2625" i="14"/>
  <c r="H3713" i="14" a="1"/>
  <c r="H525" i="14" a="1"/>
  <c r="G687" i="14"/>
  <c r="G957" i="14"/>
  <c r="F2625" i="14"/>
  <c r="H3978" i="14" a="1"/>
  <c r="H1226" i="14" a="1"/>
  <c r="G1317" i="14"/>
  <c r="H138" i="14" a="1"/>
  <c r="F596" i="14"/>
  <c r="H866" i="14" a="1"/>
  <c r="H956" i="14" a="1"/>
  <c r="H3277" i="14" a="1"/>
  <c r="H2650" i="14" a="1"/>
  <c r="H202" i="14" a="1"/>
  <c r="G3539" i="14"/>
  <c r="G1047" i="14"/>
  <c r="G4066" i="14"/>
  <c r="G2780" i="14"/>
  <c r="G2754" i="14"/>
  <c r="F3453" i="14"/>
  <c r="F2416" i="14"/>
  <c r="F78" i="14"/>
  <c r="G203" i="14"/>
  <c r="G777" i="14"/>
  <c r="H1046" i="14" a="1"/>
  <c r="F2509" i="14"/>
  <c r="F3366" i="14"/>
  <c r="F2703" i="14"/>
  <c r="G13" i="14"/>
  <c r="F3192" i="14"/>
  <c r="H2702" i="14" a="1"/>
  <c r="G75" i="14"/>
  <c r="F398" i="14"/>
  <c r="F3540" i="14"/>
  <c r="H776" i="14" a="1"/>
  <c r="G2703" i="14"/>
  <c r="H2624" i="14" a="1"/>
  <c r="G2599" i="14"/>
  <c r="H3451" i="14" a="1"/>
  <c r="F2677" i="14"/>
  <c r="H2727" i="14" a="1"/>
  <c r="G2677" i="14"/>
  <c r="H2598" i="14" a="1"/>
  <c r="H12" i="14" a="1"/>
  <c r="H3190" i="14" a="1"/>
  <c r="G267" i="14"/>
  <c r="F2599" i="14"/>
  <c r="H2753" i="14" a="1"/>
  <c r="F2728" i="14"/>
  <c r="F334" i="14"/>
  <c r="H266" i="14" a="1"/>
  <c r="F3279" i="14"/>
  <c r="F2807" i="14"/>
  <c r="G139" i="14"/>
  <c r="H2701" i="14" a="1"/>
  <c r="G597" i="14"/>
  <c r="F206" i="14"/>
  <c r="F142" i="14"/>
  <c r="F3801" i="14"/>
  <c r="G1137" i="14"/>
  <c r="H2676" i="14" a="1"/>
  <c r="H686" i="14" a="1"/>
  <c r="H74" i="14" a="1"/>
  <c r="G2728" i="14"/>
  <c r="H1136" i="14" a="1"/>
  <c r="G3191" i="14"/>
  <c r="G3801" i="14"/>
  <c r="F527" i="14"/>
  <c r="F2729" i="14"/>
  <c r="G2651" i="14"/>
  <c r="G2729" i="14"/>
  <c r="G867" i="14"/>
  <c r="F2651" i="14"/>
  <c r="F2727" i="14"/>
  <c r="H460" i="14" a="1"/>
  <c r="H3364" i="14" a="1"/>
  <c r="F462" i="14"/>
  <c r="G1227" i="14"/>
  <c r="F3714" i="14"/>
  <c r="F3627" i="14"/>
  <c r="F270" i="14"/>
  <c r="H596" i="14" a="1"/>
  <c r="H3364" i="14" l="1"/>
  <c r="H12" i="14"/>
  <c r="H2650" i="14"/>
  <c r="H74" i="14"/>
  <c r="H686" i="14"/>
  <c r="H2701" i="14"/>
  <c r="H2676" i="14"/>
  <c r="H3190" i="14"/>
  <c r="H1046" i="14"/>
  <c r="H525" i="14"/>
  <c r="H138" i="14"/>
  <c r="H3277" i="14"/>
  <c r="H956" i="14"/>
  <c r="H3978" i="14"/>
  <c r="H866" i="14"/>
  <c r="H596" i="14"/>
  <c r="H1136" i="14"/>
  <c r="H776" i="14"/>
  <c r="H2598" i="14"/>
  <c r="H266" i="14"/>
  <c r="H1226" i="14"/>
  <c r="H2624" i="14"/>
  <c r="H2753" i="14"/>
  <c r="H2702" i="14"/>
  <c r="H202" i="14"/>
  <c r="H460" i="14"/>
  <c r="H3713" i="14"/>
  <c r="H2727" i="14"/>
  <c r="H3451" i="14"/>
  <c r="C333" i="14"/>
  <c r="B3455" i="14"/>
  <c r="C205" i="14"/>
  <c r="C141" i="14"/>
  <c r="C77" i="14"/>
  <c r="B2705" i="14"/>
  <c r="B3281" i="14"/>
  <c r="B3194" i="14"/>
  <c r="C2679" i="14"/>
  <c r="B3629" i="14"/>
  <c r="C2834" i="14"/>
  <c r="C2627" i="14"/>
  <c r="C2601" i="14"/>
  <c r="C397" i="14"/>
  <c r="B2757" i="14"/>
  <c r="B14" i="14"/>
  <c r="C461" i="14"/>
  <c r="B2627" i="14"/>
  <c r="B2601" i="14"/>
  <c r="C1319" i="14"/>
  <c r="C3628" i="14"/>
  <c r="B2679" i="14"/>
  <c r="B2861" i="14"/>
  <c r="C689" i="14"/>
  <c r="C599" i="14"/>
  <c r="C3541" i="14"/>
  <c r="C959" i="14"/>
  <c r="C779" i="14"/>
  <c r="C1409" i="14"/>
  <c r="B3368" i="14"/>
  <c r="B2511" i="14"/>
  <c r="C2783" i="14"/>
  <c r="B2782" i="14"/>
  <c r="B3803" i="14"/>
  <c r="B400" i="14"/>
  <c r="C1499" i="14"/>
  <c r="B464" i="14"/>
  <c r="B208" i="14"/>
  <c r="C3367" i="14"/>
  <c r="C2782" i="14"/>
  <c r="C15" i="14"/>
  <c r="C4242" i="14"/>
  <c r="C1229" i="14"/>
  <c r="C2653" i="14"/>
  <c r="B2653" i="14"/>
  <c r="B336" i="14"/>
  <c r="C1049" i="14"/>
  <c r="B2783" i="14"/>
  <c r="B3542" i="14"/>
  <c r="C2757" i="14"/>
  <c r="C2808" i="14"/>
  <c r="B2731" i="14"/>
  <c r="C3977" i="14"/>
  <c r="C3715" i="14"/>
  <c r="B2418" i="14"/>
  <c r="B598" i="14"/>
  <c r="B272" i="14"/>
  <c r="C3454" i="14"/>
  <c r="B2781" i="14"/>
  <c r="C2705" i="14"/>
  <c r="C869" i="14"/>
  <c r="C2731" i="14"/>
  <c r="C3280" i="14"/>
  <c r="C3193" i="14"/>
  <c r="B144" i="14"/>
  <c r="B80" i="14"/>
  <c r="B3716" i="14"/>
  <c r="B528" i="14"/>
  <c r="C269" i="14"/>
  <c r="B3890" i="14"/>
  <c r="C1139" i="14"/>
  <c r="B3977" i="14"/>
  <c r="H3191" i="14" a="1"/>
  <c r="G2755" i="14"/>
  <c r="G4154" i="14"/>
  <c r="G2626" i="14"/>
  <c r="G688" i="14"/>
  <c r="F3280" i="14"/>
  <c r="G1318" i="14"/>
  <c r="G2730" i="14"/>
  <c r="G2704" i="14"/>
  <c r="G76" i="14"/>
  <c r="G2756" i="14"/>
  <c r="F463" i="14"/>
  <c r="H2599" i="14" a="1"/>
  <c r="G2600" i="14"/>
  <c r="H957" i="14" a="1"/>
  <c r="F143" i="14"/>
  <c r="H777" i="14" a="1"/>
  <c r="G598" i="14"/>
  <c r="H3801" i="14" a="1"/>
  <c r="F2755" i="14"/>
  <c r="G204" i="14"/>
  <c r="F2756" i="14"/>
  <c r="F13" i="14"/>
  <c r="F2600" i="14"/>
  <c r="F2678" i="14"/>
  <c r="G958" i="14"/>
  <c r="F3541" i="14"/>
  <c r="H687" i="14" a="1"/>
  <c r="H3278" i="14" a="1"/>
  <c r="G1048" i="14"/>
  <c r="H1137" i="14" a="1"/>
  <c r="F3715" i="14"/>
  <c r="G1408" i="14"/>
  <c r="G3279" i="14"/>
  <c r="G3453" i="14"/>
  <c r="F3367" i="14"/>
  <c r="F271" i="14"/>
  <c r="H2625" i="14" a="1"/>
  <c r="G396" i="14"/>
  <c r="H267" i="14" a="1"/>
  <c r="H1227" i="14" a="1"/>
  <c r="G14" i="14"/>
  <c r="H2754" i="14" a="1"/>
  <c r="F2626" i="14"/>
  <c r="H2651" i="14" a="1"/>
  <c r="F399" i="14"/>
  <c r="H4066" i="14" a="1"/>
  <c r="G3366" i="14"/>
  <c r="G2807" i="14"/>
  <c r="H139" i="14" a="1"/>
  <c r="F2730" i="14"/>
  <c r="F3193" i="14"/>
  <c r="H2677" i="14" a="1"/>
  <c r="H13" i="14" a="1"/>
  <c r="G2652" i="14"/>
  <c r="H2703" i="14" a="1"/>
  <c r="F335" i="14"/>
  <c r="H2780" i="14" a="1"/>
  <c r="G3627" i="14"/>
  <c r="H2728" i="14" a="1"/>
  <c r="F3628" i="14"/>
  <c r="G2678" i="14"/>
  <c r="F2652" i="14"/>
  <c r="F79" i="14"/>
  <c r="G1228" i="14"/>
  <c r="H3452" i="14" a="1"/>
  <c r="F597" i="14"/>
  <c r="G3889" i="14"/>
  <c r="G3192" i="14"/>
  <c r="F2417" i="14"/>
  <c r="H1317" i="14" a="1"/>
  <c r="F3454" i="14"/>
  <c r="H867" i="14" a="1"/>
  <c r="H75" i="14" a="1"/>
  <c r="G332" i="14"/>
  <c r="H2729" i="14" a="1"/>
  <c r="F2754" i="14"/>
  <c r="H3539" i="14" a="1"/>
  <c r="G1138" i="14"/>
  <c r="F2834" i="14"/>
  <c r="F3889" i="14"/>
  <c r="F2704" i="14"/>
  <c r="H3365" i="14" a="1"/>
  <c r="G868" i="14"/>
  <c r="G268" i="14"/>
  <c r="H203" i="14" a="1"/>
  <c r="F207" i="14"/>
  <c r="H597" i="14" a="1"/>
  <c r="G778" i="14"/>
  <c r="F3802" i="14"/>
  <c r="G140" i="14"/>
  <c r="G2781" i="14"/>
  <c r="G3540" i="14"/>
  <c r="H1047" i="14" a="1"/>
  <c r="F2510" i="14"/>
  <c r="H331" i="14" a="1"/>
  <c r="F528" i="14"/>
  <c r="H3365" i="14" l="1"/>
  <c r="H2703" i="14"/>
  <c r="H13" i="14"/>
  <c r="H3191" i="14"/>
  <c r="H139" i="14"/>
  <c r="H957" i="14"/>
  <c r="H2599" i="14"/>
  <c r="H867" i="14"/>
  <c r="H1317" i="14"/>
  <c r="H2754" i="14"/>
  <c r="H1227" i="14"/>
  <c r="H3539" i="14"/>
  <c r="H267" i="14"/>
  <c r="H331" i="14"/>
  <c r="H1047" i="14"/>
  <c r="H2728" i="14"/>
  <c r="H2780" i="14"/>
  <c r="H1137" i="14"/>
  <c r="H3278" i="14"/>
  <c r="H3452" i="14"/>
  <c r="H2625" i="14"/>
  <c r="H597" i="14"/>
  <c r="H203" i="14"/>
  <c r="H4066" i="14"/>
  <c r="H2651" i="14"/>
  <c r="H3801" i="14"/>
  <c r="H777" i="14"/>
  <c r="H2677" i="14"/>
  <c r="H687" i="14"/>
  <c r="H2729" i="14"/>
  <c r="H75" i="14"/>
  <c r="C3455" i="14"/>
  <c r="B273" i="14"/>
  <c r="C3629" i="14"/>
  <c r="C206" i="14"/>
  <c r="B3804" i="14"/>
  <c r="B81" i="14"/>
  <c r="B145" i="14"/>
  <c r="C960" i="14"/>
  <c r="B337" i="14"/>
  <c r="C4065" i="14"/>
  <c r="B529" i="14"/>
  <c r="B2809" i="14"/>
  <c r="C690" i="14"/>
  <c r="C600" i="14"/>
  <c r="C3716" i="14"/>
  <c r="C2654" i="14"/>
  <c r="B3282" i="14"/>
  <c r="B3195" i="14"/>
  <c r="C270" i="14"/>
  <c r="B2419" i="14"/>
  <c r="B2888" i="14"/>
  <c r="B3717" i="14"/>
  <c r="C1140" i="14"/>
  <c r="B2512" i="14"/>
  <c r="C2628" i="14"/>
  <c r="C2602" i="14"/>
  <c r="C2758" i="14"/>
  <c r="C4330" i="14"/>
  <c r="B3978" i="14"/>
  <c r="B209" i="14"/>
  <c r="B3630" i="14"/>
  <c r="B2680" i="14"/>
  <c r="C16" i="14"/>
  <c r="C1500" i="14"/>
  <c r="B15" i="14"/>
  <c r="C2861" i="14"/>
  <c r="B3369" i="14"/>
  <c r="C1320" i="14"/>
  <c r="B465" i="14"/>
  <c r="C3368" i="14"/>
  <c r="B2808" i="14"/>
  <c r="C1050" i="14"/>
  <c r="B2654" i="14"/>
  <c r="C142" i="14"/>
  <c r="C78" i="14"/>
  <c r="C1230" i="14"/>
  <c r="B2706" i="14"/>
  <c r="C2706" i="14"/>
  <c r="C3803" i="14"/>
  <c r="C2784" i="14"/>
  <c r="B3891" i="14"/>
  <c r="B3456" i="14"/>
  <c r="C526" i="14"/>
  <c r="B599" i="14"/>
  <c r="C870" i="14"/>
  <c r="C780" i="14"/>
  <c r="C1410" i="14"/>
  <c r="B2732" i="14"/>
  <c r="B3543" i="14"/>
  <c r="B4065" i="14"/>
  <c r="C3281" i="14"/>
  <c r="C3194" i="14"/>
  <c r="C2835" i="14"/>
  <c r="C398" i="14"/>
  <c r="C462" i="14"/>
  <c r="C3542" i="14"/>
  <c r="B401" i="14"/>
  <c r="C334" i="14"/>
  <c r="C2732" i="14"/>
  <c r="B2758" i="14"/>
  <c r="B2810" i="14"/>
  <c r="C2680" i="14"/>
  <c r="C2809" i="14"/>
  <c r="C1590" i="14"/>
  <c r="C2810" i="14"/>
  <c r="B2602" i="14"/>
  <c r="B2628" i="14"/>
  <c r="B2784" i="14"/>
  <c r="H2678" i="14" a="1"/>
  <c r="F3629" i="14"/>
  <c r="F2781" i="14"/>
  <c r="G141" i="14"/>
  <c r="G1139" i="14"/>
  <c r="H2626" i="14" a="1"/>
  <c r="F400" i="14"/>
  <c r="F144" i="14"/>
  <c r="H3279" i="14" a="1"/>
  <c r="H332" i="14" a="1"/>
  <c r="F3455" i="14"/>
  <c r="H3540" i="14" a="1"/>
  <c r="G2705" i="14"/>
  <c r="G1049" i="14"/>
  <c r="H396" i="14" a="1"/>
  <c r="G2601" i="14"/>
  <c r="H3889" i="14" a="1"/>
  <c r="H958" i="14" a="1"/>
  <c r="H1138" i="14" a="1"/>
  <c r="G1229" i="14"/>
  <c r="G3367" i="14"/>
  <c r="G2757" i="14"/>
  <c r="G397" i="14"/>
  <c r="G3280" i="14"/>
  <c r="G689" i="14"/>
  <c r="H2755" i="14" a="1"/>
  <c r="F2418" i="14"/>
  <c r="G3541" i="14"/>
  <c r="H1048" i="14" a="1"/>
  <c r="G269" i="14"/>
  <c r="F272" i="14"/>
  <c r="F208" i="14"/>
  <c r="F80" i="14"/>
  <c r="H1318" i="14" a="1"/>
  <c r="F3194" i="14"/>
  <c r="G4242" i="14"/>
  <c r="H2781" i="14" a="1"/>
  <c r="H3453" i="14" a="1"/>
  <c r="F2782" i="14"/>
  <c r="F14" i="14"/>
  <c r="H688" i="14" a="1"/>
  <c r="G2653" i="14"/>
  <c r="F2627" i="14"/>
  <c r="F2861" i="14"/>
  <c r="F598" i="14"/>
  <c r="F3803" i="14"/>
  <c r="F2783" i="14"/>
  <c r="F3281" i="14"/>
  <c r="G2782" i="14"/>
  <c r="H268" i="14" a="1"/>
  <c r="F3977" i="14"/>
  <c r="G3454" i="14"/>
  <c r="H2652" i="14" a="1"/>
  <c r="F464" i="14"/>
  <c r="H778" i="14" a="1"/>
  <c r="G1409" i="14"/>
  <c r="G3977" i="14"/>
  <c r="F2757" i="14"/>
  <c r="F529" i="14"/>
  <c r="H3627" i="14" a="1"/>
  <c r="G2808" i="14"/>
  <c r="G333" i="14"/>
  <c r="G2627" i="14"/>
  <c r="G205" i="14"/>
  <c r="H1228" i="14" a="1"/>
  <c r="H3366" i="14" a="1"/>
  <c r="H2756" i="14" a="1"/>
  <c r="H4154" i="14" a="1"/>
  <c r="H204" i="14" a="1"/>
  <c r="F2705" i="14"/>
  <c r="G2679" i="14"/>
  <c r="H1408" i="14" a="1"/>
  <c r="H140" i="14" a="1"/>
  <c r="F336" i="14"/>
  <c r="G3193" i="14"/>
  <c r="G1319" i="14"/>
  <c r="H3192" i="14" a="1"/>
  <c r="F2731" i="14"/>
  <c r="F2511" i="14"/>
  <c r="F3368" i="14"/>
  <c r="H2704" i="14" a="1"/>
  <c r="F2601" i="14"/>
  <c r="F3716" i="14"/>
  <c r="G2834" i="14"/>
  <c r="H2730" i="14" a="1"/>
  <c r="H2600" i="14" a="1"/>
  <c r="G869" i="14"/>
  <c r="G77" i="14"/>
  <c r="G599" i="14"/>
  <c r="G959" i="14"/>
  <c r="G2783" i="14"/>
  <c r="F3542" i="14"/>
  <c r="G526" i="14"/>
  <c r="G3715" i="14"/>
  <c r="H868" i="14" a="1"/>
  <c r="H598" i="14" a="1"/>
  <c r="F2679" i="14"/>
  <c r="H2807" i="14" a="1"/>
  <c r="G461" i="14"/>
  <c r="G1499" i="14"/>
  <c r="G15" i="14"/>
  <c r="G779" i="14"/>
  <c r="H14" i="14" a="1"/>
  <c r="F2653" i="14"/>
  <c r="H76" i="14" a="1"/>
  <c r="G3628" i="14"/>
  <c r="F3890" i="14"/>
  <c r="G2731" i="14"/>
  <c r="H2807" i="14" l="1"/>
  <c r="H958" i="14"/>
  <c r="H3279" i="14"/>
  <c r="H332" i="14"/>
  <c r="H2755" i="14"/>
  <c r="H2626" i="14"/>
  <c r="H1138" i="14"/>
  <c r="H2678" i="14"/>
  <c r="H3889" i="14"/>
  <c r="H2600" i="14"/>
  <c r="H2730" i="14"/>
  <c r="H140" i="14"/>
  <c r="H3627" i="14"/>
  <c r="H1408" i="14"/>
  <c r="H396" i="14"/>
  <c r="H1318" i="14"/>
  <c r="H14" i="14"/>
  <c r="H268" i="14"/>
  <c r="H76" i="14"/>
  <c r="H204" i="14"/>
  <c r="H778" i="14"/>
  <c r="H4154" i="14"/>
  <c r="H3192" i="14"/>
  <c r="H1048" i="14"/>
  <c r="H2756" i="14"/>
  <c r="H3540" i="14"/>
  <c r="H2781" i="14"/>
  <c r="H1228" i="14"/>
  <c r="H2704" i="14"/>
  <c r="H598" i="14"/>
  <c r="H688" i="14"/>
  <c r="H868" i="14"/>
  <c r="H3366" i="14"/>
  <c r="H3453" i="14"/>
  <c r="H2652" i="14"/>
  <c r="C17" i="14"/>
  <c r="B2513" i="14"/>
  <c r="B210" i="14"/>
  <c r="C1501" i="14"/>
  <c r="C3891" i="14"/>
  <c r="C143" i="14"/>
  <c r="C79" i="14"/>
  <c r="B4153" i="14"/>
  <c r="C207" i="14"/>
  <c r="C4418" i="14"/>
  <c r="B3544" i="14"/>
  <c r="C335" i="14"/>
  <c r="C691" i="14"/>
  <c r="C601" i="14"/>
  <c r="C3543" i="14"/>
  <c r="B2603" i="14"/>
  <c r="B2629" i="14"/>
  <c r="C2707" i="14"/>
  <c r="C399" i="14"/>
  <c r="C463" i="14"/>
  <c r="C961" i="14"/>
  <c r="B3979" i="14"/>
  <c r="B2681" i="14"/>
  <c r="B16" i="14"/>
  <c r="C2785" i="14"/>
  <c r="B3196" i="14"/>
  <c r="B3283" i="14"/>
  <c r="C781" i="14"/>
  <c r="B402" i="14"/>
  <c r="B3892" i="14"/>
  <c r="B2420" i="14"/>
  <c r="C2681" i="14"/>
  <c r="B146" i="14"/>
  <c r="B82" i="14"/>
  <c r="C2759" i="14"/>
  <c r="B2655" i="14"/>
  <c r="B530" i="14"/>
  <c r="B3718" i="14"/>
  <c r="C2837" i="14"/>
  <c r="B466" i="14"/>
  <c r="C1141" i="14"/>
  <c r="C1591" i="14"/>
  <c r="C527" i="14"/>
  <c r="C871" i="14"/>
  <c r="C3456" i="14"/>
  <c r="C3804" i="14"/>
  <c r="C4153" i="14"/>
  <c r="B3631" i="14"/>
  <c r="B2733" i="14"/>
  <c r="B274" i="14"/>
  <c r="C2603" i="14"/>
  <c r="C2629" i="14"/>
  <c r="B3805" i="14"/>
  <c r="B3370" i="14"/>
  <c r="B2837" i="14"/>
  <c r="C2862" i="14"/>
  <c r="B600" i="14"/>
  <c r="C2811" i="14"/>
  <c r="C1321" i="14"/>
  <c r="C1411" i="14"/>
  <c r="B2915" i="14"/>
  <c r="B2836" i="14"/>
  <c r="C271" i="14"/>
  <c r="B2811" i="14"/>
  <c r="C1681" i="14"/>
  <c r="C3282" i="14"/>
  <c r="C3195" i="14"/>
  <c r="B3457" i="14"/>
  <c r="C2836" i="14"/>
  <c r="C3369" i="14"/>
  <c r="B2707" i="14"/>
  <c r="B338" i="14"/>
  <c r="C2733" i="14"/>
  <c r="C2888" i="14"/>
  <c r="C1231" i="14"/>
  <c r="B2785" i="14"/>
  <c r="C3630" i="14"/>
  <c r="B2759" i="14"/>
  <c r="B2835" i="14"/>
  <c r="B4066" i="14"/>
  <c r="C2655" i="14"/>
  <c r="C1051" i="14"/>
  <c r="C3717" i="14"/>
  <c r="H526" i="14" a="1"/>
  <c r="G690" i="14"/>
  <c r="H1499" i="14" a="1"/>
  <c r="G270" i="14"/>
  <c r="H4242" i="14" a="1"/>
  <c r="G780" i="14"/>
  <c r="G2602" i="14"/>
  <c r="G1590" i="14"/>
  <c r="F209" i="14"/>
  <c r="H779" i="14" a="1"/>
  <c r="F15" i="14"/>
  <c r="G462" i="14"/>
  <c r="G1230" i="14"/>
  <c r="H3628" i="14" a="1"/>
  <c r="G1050" i="14"/>
  <c r="H1229" i="14" a="1"/>
  <c r="H2834" i="14" a="1"/>
  <c r="H15" i="14" a="1"/>
  <c r="H1319" i="14" a="1"/>
  <c r="G2861" i="14"/>
  <c r="G2680" i="14"/>
  <c r="G3629" i="14"/>
  <c r="H3280" i="14" a="1"/>
  <c r="G398" i="14"/>
  <c r="F2810" i="14"/>
  <c r="F2628" i="14"/>
  <c r="H397" i="14" a="1"/>
  <c r="G2732" i="14"/>
  <c r="H2808" i="14" a="1"/>
  <c r="F530" i="14"/>
  <c r="G3368" i="14"/>
  <c r="H2757" i="14" a="1"/>
  <c r="G1140" i="14"/>
  <c r="F145" i="14"/>
  <c r="F2419" i="14"/>
  <c r="H689" i="14" a="1"/>
  <c r="H2653" i="14" a="1"/>
  <c r="F4065" i="14"/>
  <c r="G2706" i="14"/>
  <c r="F2758" i="14"/>
  <c r="H269" i="14" a="1"/>
  <c r="F2602" i="14"/>
  <c r="H3977" i="14" a="1"/>
  <c r="F2888" i="14"/>
  <c r="G2810" i="14"/>
  <c r="G78" i="14"/>
  <c r="H1049" i="14" a="1"/>
  <c r="G2835" i="14"/>
  <c r="G1410" i="14"/>
  <c r="H2782" i="14" a="1"/>
  <c r="F2808" i="14"/>
  <c r="H869" i="14" a="1"/>
  <c r="H3715" i="14" a="1"/>
  <c r="F3978" i="14"/>
  <c r="F3543" i="14"/>
  <c r="G960" i="14"/>
  <c r="G3455" i="14"/>
  <c r="F273" i="14"/>
  <c r="H2705" i="14" a="1"/>
  <c r="G4330" i="14"/>
  <c r="F3717" i="14"/>
  <c r="F81" i="14"/>
  <c r="F2512" i="14"/>
  <c r="G3542" i="14"/>
  <c r="F3630" i="14"/>
  <c r="F2784" i="14"/>
  <c r="H959" i="14" a="1"/>
  <c r="H1139" i="14" a="1"/>
  <c r="H1409" i="14" a="1"/>
  <c r="H3193" i="14" a="1"/>
  <c r="H2783" i="14" a="1"/>
  <c r="G1320" i="14"/>
  <c r="F3282" i="14"/>
  <c r="H3454" i="14" a="1"/>
  <c r="H2601" i="14" a="1"/>
  <c r="G3803" i="14"/>
  <c r="G600" i="14"/>
  <c r="F3456" i="14"/>
  <c r="G16" i="14"/>
  <c r="G3716" i="14"/>
  <c r="F3891" i="14"/>
  <c r="F3195" i="14"/>
  <c r="H3541" i="14" a="1"/>
  <c r="G2784" i="14"/>
  <c r="F599" i="14"/>
  <c r="F401" i="14"/>
  <c r="H77" i="14" a="1"/>
  <c r="F337" i="14"/>
  <c r="G206" i="14"/>
  <c r="G142" i="14"/>
  <c r="G3194" i="14"/>
  <c r="F3369" i="14"/>
  <c r="G2628" i="14"/>
  <c r="F465" i="14"/>
  <c r="H333" i="14" a="1"/>
  <c r="H461" i="14" a="1"/>
  <c r="H205" i="14" a="1"/>
  <c r="G4065" i="14"/>
  <c r="G2758" i="14"/>
  <c r="F2732" i="14"/>
  <c r="F2654" i="14"/>
  <c r="H141" i="14" a="1"/>
  <c r="H2627" i="14" a="1"/>
  <c r="H2679" i="14" a="1"/>
  <c r="G3281" i="14"/>
  <c r="H2731" i="14" a="1"/>
  <c r="G2654" i="14"/>
  <c r="G2809" i="14"/>
  <c r="G527" i="14"/>
  <c r="G870" i="14"/>
  <c r="F2706" i="14"/>
  <c r="F2809" i="14"/>
  <c r="H599" i="14" a="1"/>
  <c r="H3367" i="14" a="1"/>
  <c r="G1500" i="14"/>
  <c r="F3804" i="14"/>
  <c r="F2680" i="14"/>
  <c r="G334" i="14"/>
  <c r="H2601" i="14" l="1"/>
  <c r="H779" i="14"/>
  <c r="H1409" i="14"/>
  <c r="H269" i="14"/>
  <c r="H1499" i="14"/>
  <c r="H2653" i="14"/>
  <c r="H2782" i="14"/>
  <c r="H2783" i="14"/>
  <c r="H3715" i="14"/>
  <c r="H2834" i="14"/>
  <c r="H141" i="14"/>
  <c r="H3280" i="14"/>
  <c r="H3454" i="14"/>
  <c r="H1319" i="14"/>
  <c r="H2757" i="14"/>
  <c r="H2679" i="14"/>
  <c r="H689" i="14"/>
  <c r="H3193" i="14"/>
  <c r="H333" i="14"/>
  <c r="H4242" i="14"/>
  <c r="H959" i="14"/>
  <c r="H526" i="14"/>
  <c r="H3628" i="14"/>
  <c r="H205" i="14"/>
  <c r="H397" i="14"/>
  <c r="H2627" i="14"/>
  <c r="H3541" i="14"/>
  <c r="H1229" i="14"/>
  <c r="H2705" i="14"/>
  <c r="H3367" i="14"/>
  <c r="H15" i="14"/>
  <c r="H77" i="14"/>
  <c r="H2808" i="14"/>
  <c r="H461" i="14"/>
  <c r="H3977" i="14"/>
  <c r="H1139" i="14"/>
  <c r="H869" i="14"/>
  <c r="H2731" i="14"/>
  <c r="H599" i="14"/>
  <c r="H1049" i="14"/>
  <c r="B2862" i="14"/>
  <c r="C3892" i="14"/>
  <c r="B467" i="14"/>
  <c r="B3545" i="14"/>
  <c r="C2604" i="14"/>
  <c r="C2630" i="14"/>
  <c r="C4241" i="14"/>
  <c r="C2864" i="14"/>
  <c r="C2786" i="14"/>
  <c r="B4067" i="14"/>
  <c r="C2734" i="14"/>
  <c r="C782" i="14"/>
  <c r="C272" i="14"/>
  <c r="C1592" i="14"/>
  <c r="C336" i="14"/>
  <c r="C1412" i="14"/>
  <c r="B2864" i="14"/>
  <c r="B339" i="14"/>
  <c r="C1682" i="14"/>
  <c r="B3806" i="14"/>
  <c r="B147" i="14"/>
  <c r="B83" i="14"/>
  <c r="B3980" i="14"/>
  <c r="C2812" i="14"/>
  <c r="B2656" i="14"/>
  <c r="C1142" i="14"/>
  <c r="C2915" i="14"/>
  <c r="C3370" i="14"/>
  <c r="B2630" i="14"/>
  <c r="B2604" i="14"/>
  <c r="C3457" i="14"/>
  <c r="C2708" i="14"/>
  <c r="C528" i="14"/>
  <c r="B3632" i="14"/>
  <c r="B2514" i="14"/>
  <c r="C1772" i="14"/>
  <c r="B2942" i="14"/>
  <c r="B531" i="14"/>
  <c r="B2682" i="14"/>
  <c r="B2708" i="14"/>
  <c r="C208" i="14"/>
  <c r="B211" i="14"/>
  <c r="C1052" i="14"/>
  <c r="C400" i="14"/>
  <c r="B4241" i="14"/>
  <c r="B275" i="14"/>
  <c r="C1232" i="14"/>
  <c r="B2786" i="14"/>
  <c r="B601" i="14"/>
  <c r="B3893" i="14"/>
  <c r="B2760" i="14"/>
  <c r="C3544" i="14"/>
  <c r="C872" i="14"/>
  <c r="C3631" i="14"/>
  <c r="C2682" i="14"/>
  <c r="C3718" i="14"/>
  <c r="C2760" i="14"/>
  <c r="C2863" i="14"/>
  <c r="B3719" i="14"/>
  <c r="C962" i="14"/>
  <c r="B2421" i="14"/>
  <c r="B3371" i="14"/>
  <c r="C464" i="14"/>
  <c r="C602" i="14"/>
  <c r="C692" i="14"/>
  <c r="C4506" i="14"/>
  <c r="C3979" i="14"/>
  <c r="C3805" i="14"/>
  <c r="C1322" i="14"/>
  <c r="B2734" i="14"/>
  <c r="C3283" i="14"/>
  <c r="C3196" i="14"/>
  <c r="B3458" i="14"/>
  <c r="B2863" i="14"/>
  <c r="C2838" i="14"/>
  <c r="B17" i="14"/>
  <c r="C144" i="14"/>
  <c r="C80" i="14"/>
  <c r="B4154" i="14"/>
  <c r="B2812" i="14"/>
  <c r="B403" i="14"/>
  <c r="B2838" i="14"/>
  <c r="C1502" i="14"/>
  <c r="C2889" i="14"/>
  <c r="C2656" i="14"/>
  <c r="B3197" i="14"/>
  <c r="B3284" i="14"/>
  <c r="C18" i="14"/>
  <c r="H206" i="14" a="1"/>
  <c r="F2420" i="14"/>
  <c r="F2836" i="14"/>
  <c r="F2915" i="14"/>
  <c r="G3195" i="14"/>
  <c r="H1320" i="14" a="1"/>
  <c r="F2629" i="14"/>
  <c r="H1410" i="14" a="1"/>
  <c r="H2758" i="14" a="1"/>
  <c r="G2707" i="14"/>
  <c r="G961" i="14"/>
  <c r="G143" i="14"/>
  <c r="F3196" i="14"/>
  <c r="H1050" i="14" a="1"/>
  <c r="G3282" i="14"/>
  <c r="G2836" i="14"/>
  <c r="G3804" i="14"/>
  <c r="G2733" i="14"/>
  <c r="H1140" i="14" a="1"/>
  <c r="F3631" i="14"/>
  <c r="F2837" i="14"/>
  <c r="F2707" i="14"/>
  <c r="G463" i="14"/>
  <c r="H1590" i="14" a="1"/>
  <c r="F3892" i="14"/>
  <c r="G1411" i="14"/>
  <c r="F3718" i="14"/>
  <c r="F2655" i="14"/>
  <c r="G271" i="14"/>
  <c r="G601" i="14"/>
  <c r="F3979" i="14"/>
  <c r="H1500" i="14" a="1"/>
  <c r="H3368" i="14" a="1"/>
  <c r="F210" i="14"/>
  <c r="F3544" i="14"/>
  <c r="G2681" i="14"/>
  <c r="G871" i="14"/>
  <c r="H3629" i="14" a="1"/>
  <c r="F3370" i="14"/>
  <c r="H2810" i="14" a="1"/>
  <c r="H3803" i="14" a="1"/>
  <c r="F274" i="14"/>
  <c r="H600" i="14" a="1"/>
  <c r="F3457" i="14"/>
  <c r="G2785" i="14"/>
  <c r="F4153" i="14"/>
  <c r="G3717" i="14"/>
  <c r="G3369" i="14"/>
  <c r="H2602" i="14" a="1"/>
  <c r="F2513" i="14"/>
  <c r="G2655" i="14"/>
  <c r="G2629" i="14"/>
  <c r="H3455" i="14" a="1"/>
  <c r="F2681" i="14"/>
  <c r="H2835" i="14" a="1"/>
  <c r="G2862" i="14"/>
  <c r="G3891" i="14"/>
  <c r="H78" i="14" a="1"/>
  <c r="F3805" i="14"/>
  <c r="G4153" i="14"/>
  <c r="H3194" i="14" a="1"/>
  <c r="F2733" i="14"/>
  <c r="H462" i="14" a="1"/>
  <c r="H4065" i="14" a="1"/>
  <c r="F338" i="14"/>
  <c r="H270" i="14" a="1"/>
  <c r="G4418" i="14"/>
  <c r="G1321" i="14"/>
  <c r="H3281" i="14" a="1"/>
  <c r="F2603" i="14"/>
  <c r="H2706" i="14" a="1"/>
  <c r="H4330" i="14" a="1"/>
  <c r="G1591" i="14"/>
  <c r="H2628" i="14" a="1"/>
  <c r="F2785" i="14"/>
  <c r="F82" i="14"/>
  <c r="G2603" i="14"/>
  <c r="G781" i="14"/>
  <c r="G399" i="14"/>
  <c r="H780" i="14" a="1"/>
  <c r="F2759" i="14"/>
  <c r="G17" i="14"/>
  <c r="H142" i="14" a="1"/>
  <c r="G207" i="14"/>
  <c r="F146" i="14"/>
  <c r="G335" i="14"/>
  <c r="H527" i="14" a="1"/>
  <c r="H960" i="14" a="1"/>
  <c r="G3543" i="14"/>
  <c r="G2888" i="14"/>
  <c r="H3542" i="14" a="1"/>
  <c r="H2732" i="14" a="1"/>
  <c r="H2809" i="14" a="1"/>
  <c r="G1141" i="14"/>
  <c r="F2835" i="14"/>
  <c r="H398" i="14" a="1"/>
  <c r="G2759" i="14"/>
  <c r="H2654" i="14" a="1"/>
  <c r="F3283" i="14"/>
  <c r="F402" i="14"/>
  <c r="F600" i="14"/>
  <c r="G2811" i="14"/>
  <c r="H2861" i="14" a="1"/>
  <c r="G691" i="14"/>
  <c r="F531" i="14"/>
  <c r="H870" i="14" a="1"/>
  <c r="G1681" i="14"/>
  <c r="G3456" i="14"/>
  <c r="H16" i="14" a="1"/>
  <c r="F466" i="14"/>
  <c r="G2837" i="14"/>
  <c r="F16" i="14"/>
  <c r="G1231" i="14"/>
  <c r="G79" i="14"/>
  <c r="H2784" i="14" a="1"/>
  <c r="H3716" i="14" a="1"/>
  <c r="H690" i="14" a="1"/>
  <c r="G3630" i="14"/>
  <c r="F2811" i="14"/>
  <c r="G528" i="14"/>
  <c r="H1230" i="14" a="1"/>
  <c r="F4066" i="14"/>
  <c r="H2680" i="14" a="1"/>
  <c r="G1051" i="14"/>
  <c r="H334" i="14" a="1"/>
  <c r="G1501" i="14"/>
  <c r="H3281" i="14" l="1"/>
  <c r="H2732" i="14"/>
  <c r="H3716" i="14"/>
  <c r="H1500" i="14"/>
  <c r="H1050" i="14"/>
  <c r="H2835" i="14"/>
  <c r="H4330" i="14"/>
  <c r="H2861" i="14"/>
  <c r="H3629" i="14"/>
  <c r="H960" i="14"/>
  <c r="H780" i="14"/>
  <c r="H3542" i="14"/>
  <c r="H462" i="14"/>
  <c r="H1140" i="14"/>
  <c r="H3803" i="14"/>
  <c r="H2706" i="14"/>
  <c r="H1320" i="14"/>
  <c r="H3455" i="14"/>
  <c r="H398" i="14"/>
  <c r="H527" i="14"/>
  <c r="H2680" i="14"/>
  <c r="H870" i="14"/>
  <c r="H2758" i="14"/>
  <c r="H2810" i="14"/>
  <c r="H3194" i="14"/>
  <c r="H2602" i="14"/>
  <c r="H4065" i="14"/>
  <c r="H142" i="14"/>
  <c r="H1590" i="14"/>
  <c r="H2628" i="14"/>
  <c r="H334" i="14"/>
  <c r="H1410" i="14"/>
  <c r="H1230" i="14"/>
  <c r="H2654" i="14"/>
  <c r="H3368" i="14"/>
  <c r="H16" i="14"/>
  <c r="H2784" i="14"/>
  <c r="H600" i="14"/>
  <c r="H78" i="14"/>
  <c r="H2809" i="14"/>
  <c r="H690" i="14"/>
  <c r="H270" i="14"/>
  <c r="H206" i="14"/>
  <c r="B468" i="14"/>
  <c r="B2813" i="14"/>
  <c r="C1863" i="14"/>
  <c r="C2735" i="14"/>
  <c r="C1773" i="14"/>
  <c r="C2761" i="14"/>
  <c r="B404" i="14"/>
  <c r="B18" i="14"/>
  <c r="C4067" i="14"/>
  <c r="C529" i="14"/>
  <c r="B3807" i="14"/>
  <c r="B2709" i="14"/>
  <c r="C3545" i="14"/>
  <c r="B4155" i="14"/>
  <c r="B2889" i="14"/>
  <c r="B2839" i="14"/>
  <c r="B3459" i="14"/>
  <c r="B340" i="14"/>
  <c r="B276" i="14"/>
  <c r="B212" i="14"/>
  <c r="B2891" i="14"/>
  <c r="C2813" i="14"/>
  <c r="C2631" i="14"/>
  <c r="C2605" i="14"/>
  <c r="C1053" i="14"/>
  <c r="C3806" i="14"/>
  <c r="C401" i="14"/>
  <c r="C4329" i="14"/>
  <c r="C3893" i="14"/>
  <c r="C2916" i="14"/>
  <c r="C1323" i="14"/>
  <c r="C19" i="14"/>
  <c r="C2865" i="14"/>
  <c r="C4594" i="14"/>
  <c r="C337" i="14"/>
  <c r="C3458" i="14"/>
  <c r="C209" i="14"/>
  <c r="C3632" i="14"/>
  <c r="C465" i="14"/>
  <c r="B2735" i="14"/>
  <c r="C2709" i="14"/>
  <c r="B2787" i="14"/>
  <c r="C1143" i="14"/>
  <c r="C3371" i="14"/>
  <c r="C1233" i="14"/>
  <c r="B148" i="14"/>
  <c r="B84" i="14"/>
  <c r="C2657" i="14"/>
  <c r="B4242" i="14"/>
  <c r="B2761" i="14"/>
  <c r="C2890" i="14"/>
  <c r="C3719" i="14"/>
  <c r="B3981" i="14"/>
  <c r="B3720" i="14"/>
  <c r="B2605" i="14"/>
  <c r="B2631" i="14"/>
  <c r="B3372" i="14"/>
  <c r="C1593" i="14"/>
  <c r="C2787" i="14"/>
  <c r="B602" i="14"/>
  <c r="B2969" i="14"/>
  <c r="B2657" i="14"/>
  <c r="B2683" i="14"/>
  <c r="B3894" i="14"/>
  <c r="C873" i="14"/>
  <c r="C2891" i="14"/>
  <c r="B3633" i="14"/>
  <c r="C81" i="14"/>
  <c r="C145" i="14"/>
  <c r="B3546" i="14"/>
  <c r="C693" i="14"/>
  <c r="C603" i="14"/>
  <c r="C2839" i="14"/>
  <c r="C2683" i="14"/>
  <c r="C3197" i="14"/>
  <c r="C3284" i="14"/>
  <c r="B2515" i="14"/>
  <c r="C2942" i="14"/>
  <c r="B4068" i="14"/>
  <c r="C1683" i="14"/>
  <c r="C3980" i="14"/>
  <c r="B3198" i="14"/>
  <c r="B3285" i="14"/>
  <c r="B2865" i="14"/>
  <c r="B2890" i="14"/>
  <c r="C1413" i="14"/>
  <c r="C783" i="14"/>
  <c r="B2422" i="14"/>
  <c r="C963" i="14"/>
  <c r="B4329" i="14"/>
  <c r="C273" i="14"/>
  <c r="C1503" i="14"/>
  <c r="B532" i="14"/>
  <c r="H1501" i="14" a="1"/>
  <c r="G1412" i="14"/>
  <c r="F532" i="14"/>
  <c r="H2836" i="14" a="1"/>
  <c r="F2760" i="14"/>
  <c r="F2734" i="14"/>
  <c r="F2656" i="14"/>
  <c r="H79" i="14" a="1"/>
  <c r="F3806" i="14"/>
  <c r="H961" i="14" a="1"/>
  <c r="F3545" i="14"/>
  <c r="H601" i="14" a="1"/>
  <c r="G3196" i="14"/>
  <c r="H2629" i="14" a="1"/>
  <c r="H528" i="14" a="1"/>
  <c r="H2733" i="14" a="1"/>
  <c r="F339" i="14"/>
  <c r="H2655" i="14" a="1"/>
  <c r="F4067" i="14"/>
  <c r="G2864" i="14"/>
  <c r="H691" i="14" a="1"/>
  <c r="H207" i="14" a="1"/>
  <c r="G272" i="14"/>
  <c r="G3544" i="14"/>
  <c r="G400" i="14"/>
  <c r="G2656" i="14"/>
  <c r="F2864" i="14"/>
  <c r="G3892" i="14"/>
  <c r="H2603" i="14" a="1"/>
  <c r="F2812" i="14"/>
  <c r="F275" i="14"/>
  <c r="G2734" i="14"/>
  <c r="G2604" i="14"/>
  <c r="G336" i="14"/>
  <c r="H3369" i="14" a="1"/>
  <c r="H1411" i="14" a="1"/>
  <c r="H3804" i="14" a="1"/>
  <c r="F2708" i="14"/>
  <c r="F2863" i="14"/>
  <c r="H2707" i="14" a="1"/>
  <c r="G2812" i="14"/>
  <c r="H2837" i="14" a="1"/>
  <c r="H1591" i="14" a="1"/>
  <c r="G2915" i="14"/>
  <c r="G3370" i="14"/>
  <c r="H3456" i="14" a="1"/>
  <c r="G529" i="14"/>
  <c r="F3458" i="14"/>
  <c r="G3979" i="14"/>
  <c r="H2862" i="14" a="1"/>
  <c r="F2604" i="14"/>
  <c r="G144" i="14"/>
  <c r="G1772" i="14"/>
  <c r="F601" i="14"/>
  <c r="F3371" i="14"/>
  <c r="F3284" i="14"/>
  <c r="H463" i="14" a="1"/>
  <c r="G464" i="14"/>
  <c r="G3805" i="14"/>
  <c r="H271" i="14" a="1"/>
  <c r="H399" i="14" a="1"/>
  <c r="G80" i="14"/>
  <c r="G1322" i="14"/>
  <c r="F3893" i="14"/>
  <c r="H1141" i="14" a="1"/>
  <c r="F17" i="14"/>
  <c r="F3197" i="14"/>
  <c r="F2630" i="14"/>
  <c r="H2785" i="14" a="1"/>
  <c r="H3630" i="14" a="1"/>
  <c r="G2630" i="14"/>
  <c r="G2863" i="14"/>
  <c r="H4418" i="14" a="1"/>
  <c r="F2682" i="14"/>
  <c r="F2786" i="14"/>
  <c r="G1232" i="14"/>
  <c r="G1142" i="14"/>
  <c r="G2682" i="14"/>
  <c r="H1321" i="14" a="1"/>
  <c r="F4154" i="14"/>
  <c r="G208" i="14"/>
  <c r="G2786" i="14"/>
  <c r="F2838" i="14"/>
  <c r="G2708" i="14"/>
  <c r="H871" i="14" a="1"/>
  <c r="G1682" i="14"/>
  <c r="G962" i="14"/>
  <c r="F147" i="14"/>
  <c r="H2759" i="14" a="1"/>
  <c r="H3543" i="14" a="1"/>
  <c r="F2862" i="14"/>
  <c r="H1051" i="14" a="1"/>
  <c r="H143" i="14" a="1"/>
  <c r="F83" i="14"/>
  <c r="G2760" i="14"/>
  <c r="G602" i="14"/>
  <c r="H3195" i="14" a="1"/>
  <c r="G3283" i="14"/>
  <c r="F3980" i="14"/>
  <c r="G1592" i="14"/>
  <c r="G1502" i="14"/>
  <c r="F467" i="14"/>
  <c r="G2838" i="14"/>
  <c r="H3891" i="14" a="1"/>
  <c r="F2514" i="14"/>
  <c r="F403" i="14"/>
  <c r="F211" i="14"/>
  <c r="H1681" i="14" a="1"/>
  <c r="G782" i="14"/>
  <c r="H3717" i="14" a="1"/>
  <c r="G4506" i="14"/>
  <c r="H2681" i="14" a="1"/>
  <c r="F2942" i="14"/>
  <c r="G872" i="14"/>
  <c r="G692" i="14"/>
  <c r="H3282" i="14" a="1"/>
  <c r="G3631" i="14"/>
  <c r="F2421" i="14"/>
  <c r="F3632" i="14"/>
  <c r="H2811" i="14" a="1"/>
  <c r="G1052" i="14"/>
  <c r="H17" i="14" a="1"/>
  <c r="G2889" i="14"/>
  <c r="H2888" i="14" a="1"/>
  <c r="G18" i="14"/>
  <c r="G3457" i="14"/>
  <c r="G3718" i="14"/>
  <c r="H4153" i="14" a="1"/>
  <c r="G4241" i="14"/>
  <c r="F4241" i="14"/>
  <c r="H335" i="14" a="1"/>
  <c r="H781" i="14" a="1"/>
  <c r="H1231" i="14" a="1"/>
  <c r="F3719" i="14"/>
  <c r="H4418" i="14" l="1"/>
  <c r="H961" i="14"/>
  <c r="H3717" i="14"/>
  <c r="H2655" i="14"/>
  <c r="H2836" i="14"/>
  <c r="H2785" i="14"/>
  <c r="H3804" i="14"/>
  <c r="H3891" i="14"/>
  <c r="H2681" i="14"/>
  <c r="H601" i="14"/>
  <c r="H3195" i="14"/>
  <c r="H1321" i="14"/>
  <c r="H335" i="14"/>
  <c r="H271" i="14"/>
  <c r="H2733" i="14"/>
  <c r="H463" i="14"/>
  <c r="H2707" i="14"/>
  <c r="H1231" i="14"/>
  <c r="H2862" i="14"/>
  <c r="H3630" i="14"/>
  <c r="H2888" i="14"/>
  <c r="H3543" i="14"/>
  <c r="H691" i="14"/>
  <c r="H1411" i="14"/>
  <c r="H3369" i="14"/>
  <c r="H4153" i="14"/>
  <c r="H2603" i="14"/>
  <c r="H399" i="14"/>
  <c r="H3282" i="14"/>
  <c r="H1591" i="14"/>
  <c r="H871" i="14"/>
  <c r="H528" i="14"/>
  <c r="H2629" i="14"/>
  <c r="H2811" i="14"/>
  <c r="H79" i="14"/>
  <c r="H143" i="14"/>
  <c r="H1681" i="14"/>
  <c r="H207" i="14"/>
  <c r="H17" i="14"/>
  <c r="H2837" i="14"/>
  <c r="H2759" i="14"/>
  <c r="H1141" i="14"/>
  <c r="H781" i="14"/>
  <c r="H3456" i="14"/>
  <c r="H1051" i="14"/>
  <c r="H1501" i="14"/>
  <c r="C2918" i="14"/>
  <c r="C1324" i="14"/>
  <c r="C2736" i="14"/>
  <c r="C3981" i="14"/>
  <c r="B19" i="14"/>
  <c r="C4417" i="14"/>
  <c r="B2866" i="14"/>
  <c r="B2917" i="14"/>
  <c r="C3372" i="14"/>
  <c r="C604" i="14"/>
  <c r="C694" i="14"/>
  <c r="B2710" i="14"/>
  <c r="C2814" i="14"/>
  <c r="B3808" i="14"/>
  <c r="B2788" i="14"/>
  <c r="B213" i="14"/>
  <c r="B2814" i="14"/>
  <c r="C3720" i="14"/>
  <c r="C2943" i="14"/>
  <c r="B3547" i="14"/>
  <c r="C4155" i="14"/>
  <c r="C1594" i="14"/>
  <c r="B2892" i="14"/>
  <c r="C1774" i="14"/>
  <c r="C3198" i="14"/>
  <c r="C3285" i="14"/>
  <c r="C784" i="14"/>
  <c r="B2684" i="14"/>
  <c r="C274" i="14"/>
  <c r="C2892" i="14"/>
  <c r="C1144" i="14"/>
  <c r="B2918" i="14"/>
  <c r="C3633" i="14"/>
  <c r="C1864" i="14"/>
  <c r="B533" i="14"/>
  <c r="C2710" i="14"/>
  <c r="C20" i="14"/>
  <c r="B277" i="14"/>
  <c r="C874" i="14"/>
  <c r="B3199" i="14"/>
  <c r="B3286" i="14"/>
  <c r="C3807" i="14"/>
  <c r="B2762" i="14"/>
  <c r="C3546" i="14"/>
  <c r="C2606" i="14"/>
  <c r="C2632" i="14"/>
  <c r="B2916" i="14"/>
  <c r="B3895" i="14"/>
  <c r="C1954" i="14"/>
  <c r="B4417" i="14"/>
  <c r="C1504" i="14"/>
  <c r="C2969" i="14"/>
  <c r="C82" i="14"/>
  <c r="C146" i="14"/>
  <c r="B3982" i="14"/>
  <c r="C2684" i="14"/>
  <c r="C530" i="14"/>
  <c r="C402" i="14"/>
  <c r="C1414" i="14"/>
  <c r="C466" i="14"/>
  <c r="C2658" i="14"/>
  <c r="B341" i="14"/>
  <c r="B469" i="14"/>
  <c r="B3634" i="14"/>
  <c r="C1684" i="14"/>
  <c r="B4069" i="14"/>
  <c r="C3459" i="14"/>
  <c r="C964" i="14"/>
  <c r="B2516" i="14"/>
  <c r="C2866" i="14"/>
  <c r="B603" i="14"/>
  <c r="B2658" i="14"/>
  <c r="C2917" i="14"/>
  <c r="C1234" i="14"/>
  <c r="C2788" i="14"/>
  <c r="B2423" i="14"/>
  <c r="C338" i="14"/>
  <c r="B3373" i="14"/>
  <c r="B4156" i="14"/>
  <c r="B2996" i="14"/>
  <c r="B3460" i="14"/>
  <c r="B4330" i="14"/>
  <c r="B2736" i="14"/>
  <c r="C2762" i="14"/>
  <c r="C210" i="14"/>
  <c r="C1054" i="14"/>
  <c r="C4068" i="14"/>
  <c r="B3721" i="14"/>
  <c r="B2632" i="14"/>
  <c r="B2606" i="14"/>
  <c r="B149" i="14"/>
  <c r="B85" i="14"/>
  <c r="C4682" i="14"/>
  <c r="C3894" i="14"/>
  <c r="C2840" i="14"/>
  <c r="B405" i="14"/>
  <c r="B4243" i="14"/>
  <c r="B2840" i="14"/>
  <c r="H18" i="14" a="1"/>
  <c r="G337" i="14"/>
  <c r="G3719" i="14"/>
  <c r="H2915" i="14" a="1"/>
  <c r="H3631" i="14" a="1"/>
  <c r="G1773" i="14"/>
  <c r="H2812" i="14" a="1"/>
  <c r="G3458" i="14"/>
  <c r="F2890" i="14"/>
  <c r="H872" i="14" a="1"/>
  <c r="F3372" i="14"/>
  <c r="G2916" i="14"/>
  <c r="F3198" i="14"/>
  <c r="G1413" i="14"/>
  <c r="F2683" i="14"/>
  <c r="G2735" i="14"/>
  <c r="G1593" i="14"/>
  <c r="F2839" i="14"/>
  <c r="G2683" i="14"/>
  <c r="F3546" i="14"/>
  <c r="G3371" i="14"/>
  <c r="H4506" i="14" a="1"/>
  <c r="F2787" i="14"/>
  <c r="F4329" i="14"/>
  <c r="G530" i="14"/>
  <c r="G603" i="14"/>
  <c r="G1053" i="14"/>
  <c r="H208" i="14" a="1"/>
  <c r="F468" i="14"/>
  <c r="G1323" i="14"/>
  <c r="F2813" i="14"/>
  <c r="H464" i="14" a="1"/>
  <c r="H962" i="14" a="1"/>
  <c r="F3633" i="14"/>
  <c r="F4155" i="14"/>
  <c r="H782" i="14" a="1"/>
  <c r="F2422" i="14"/>
  <c r="F3981" i="14"/>
  <c r="H80" i="14" a="1"/>
  <c r="F3894" i="14"/>
  <c r="F2515" i="14"/>
  <c r="G465" i="14"/>
  <c r="F2969" i="14"/>
  <c r="H2682" i="14" a="1"/>
  <c r="G4329" i="14"/>
  <c r="G401" i="14"/>
  <c r="F3720" i="14"/>
  <c r="H3979" i="14" a="1"/>
  <c r="H2630" i="14" a="1"/>
  <c r="H3370" i="14" a="1"/>
  <c r="F84" i="14"/>
  <c r="H1052" i="14" a="1"/>
  <c r="G2891" i="14"/>
  <c r="F340" i="14"/>
  <c r="G4067" i="14"/>
  <c r="G1143" i="14"/>
  <c r="F404" i="14"/>
  <c r="G2657" i="14"/>
  <c r="F276" i="14"/>
  <c r="G2942" i="14"/>
  <c r="H529" i="14" a="1"/>
  <c r="F18" i="14"/>
  <c r="H2863" i="14" a="1"/>
  <c r="G3284" i="14"/>
  <c r="F2761" i="14"/>
  <c r="F3285" i="14"/>
  <c r="H1682" i="14" a="1"/>
  <c r="H2889" i="14" a="1"/>
  <c r="H4241" i="14" a="1"/>
  <c r="G3632" i="14"/>
  <c r="H602" i="14" a="1"/>
  <c r="G2631" i="14"/>
  <c r="F2865" i="14"/>
  <c r="H1502" i="14" a="1"/>
  <c r="G783" i="14"/>
  <c r="G3893" i="14"/>
  <c r="G145" i="14"/>
  <c r="G2865" i="14"/>
  <c r="G963" i="14"/>
  <c r="F2605" i="14"/>
  <c r="H3805" i="14" a="1"/>
  <c r="H1142" i="14" a="1"/>
  <c r="G1503" i="14"/>
  <c r="H692" i="14" a="1"/>
  <c r="F212" i="14"/>
  <c r="F2889" i="14"/>
  <c r="H2708" i="14" a="1"/>
  <c r="H3892" i="14" a="1"/>
  <c r="H2838" i="14" a="1"/>
  <c r="G2890" i="14"/>
  <c r="F2891" i="14"/>
  <c r="G2813" i="14"/>
  <c r="G3806" i="14"/>
  <c r="H3283" i="14" a="1"/>
  <c r="G3980" i="14"/>
  <c r="G1233" i="14"/>
  <c r="H3718" i="14" a="1"/>
  <c r="G2709" i="14"/>
  <c r="H2656" i="14" a="1"/>
  <c r="F3807" i="14"/>
  <c r="F2657" i="14"/>
  <c r="G273" i="14"/>
  <c r="F2735" i="14"/>
  <c r="G4594" i="14"/>
  <c r="F3459" i="14"/>
  <c r="F533" i="14"/>
  <c r="G3545" i="14"/>
  <c r="H3196" i="14" a="1"/>
  <c r="F602" i="14"/>
  <c r="H1772" i="14" a="1"/>
  <c r="G2761" i="14"/>
  <c r="H3457" i="14" a="1"/>
  <c r="G2787" i="14"/>
  <c r="F148" i="14"/>
  <c r="G19" i="14"/>
  <c r="G1863" i="14"/>
  <c r="G693" i="14"/>
  <c r="H1322" i="14" a="1"/>
  <c r="H1592" i="14" a="1"/>
  <c r="F4068" i="14"/>
  <c r="H144" i="14" a="1"/>
  <c r="H400" i="14" a="1"/>
  <c r="G81" i="14"/>
  <c r="H3544" i="14" a="1"/>
  <c r="H2786" i="14" a="1"/>
  <c r="H2760" i="14" a="1"/>
  <c r="G209" i="14"/>
  <c r="G873" i="14"/>
  <c r="G1683" i="14"/>
  <c r="H1412" i="14" a="1"/>
  <c r="H272" i="14" a="1"/>
  <c r="F2709" i="14"/>
  <c r="G2839" i="14"/>
  <c r="H2864" i="14" a="1"/>
  <c r="G3197" i="14"/>
  <c r="H336" i="14" a="1"/>
  <c r="H2734" i="14" a="1"/>
  <c r="H1232" i="14" a="1"/>
  <c r="H2604" i="14" a="1"/>
  <c r="F4242" i="14"/>
  <c r="G2605" i="14"/>
  <c r="F2631" i="14"/>
  <c r="H2760" i="14" l="1"/>
  <c r="H2915" i="14"/>
  <c r="H2682" i="14"/>
  <c r="H336" i="14"/>
  <c r="H3283" i="14"/>
  <c r="H872" i="14"/>
  <c r="H2656" i="14"/>
  <c r="H144" i="14"/>
  <c r="H1502" i="14"/>
  <c r="H2734" i="14"/>
  <c r="H272" i="14"/>
  <c r="H692" i="14"/>
  <c r="H2864" i="14"/>
  <c r="H2604" i="14"/>
  <c r="H1052" i="14"/>
  <c r="H1682" i="14"/>
  <c r="H2889" i="14"/>
  <c r="H80" i="14"/>
  <c r="H962" i="14"/>
  <c r="H3544" i="14"/>
  <c r="H1412" i="14"/>
  <c r="H3892" i="14"/>
  <c r="H2812" i="14"/>
  <c r="H3979" i="14"/>
  <c r="H3718" i="14"/>
  <c r="H2786" i="14"/>
  <c r="H1592" i="14"/>
  <c r="H602" i="14"/>
  <c r="H782" i="14"/>
  <c r="H1142" i="14"/>
  <c r="H1232" i="14"/>
  <c r="H2630" i="14"/>
  <c r="H3370" i="14"/>
  <c r="H208" i="14"/>
  <c r="H1772" i="14"/>
  <c r="H3196" i="14"/>
  <c r="H464" i="14"/>
  <c r="H400" i="14"/>
  <c r="H2708" i="14"/>
  <c r="H2838" i="14"/>
  <c r="H3631" i="14"/>
  <c r="H3457" i="14"/>
  <c r="H2863" i="14"/>
  <c r="H529" i="14"/>
  <c r="H1322" i="14"/>
  <c r="H4241" i="14"/>
  <c r="H3805" i="14"/>
  <c r="H4506" i="14"/>
  <c r="H18" i="14"/>
  <c r="C211" i="14"/>
  <c r="B2633" i="14"/>
  <c r="B2607" i="14"/>
  <c r="B406" i="14"/>
  <c r="B278" i="14"/>
  <c r="B3287" i="14"/>
  <c r="B3200" i="14"/>
  <c r="C2970" i="14"/>
  <c r="C785" i="14"/>
  <c r="C4770" i="14"/>
  <c r="C2789" i="14"/>
  <c r="B2685" i="14"/>
  <c r="C1055" i="14"/>
  <c r="C531" i="14"/>
  <c r="B3983" i="14"/>
  <c r="C1235" i="14"/>
  <c r="C875" i="14"/>
  <c r="C3808" i="14"/>
  <c r="B3896" i="14"/>
  <c r="C695" i="14"/>
  <c r="C605" i="14"/>
  <c r="C2867" i="14"/>
  <c r="C1145" i="14"/>
  <c r="B3461" i="14"/>
  <c r="C2893" i="14"/>
  <c r="B3374" i="14"/>
  <c r="C1865" i="14"/>
  <c r="B2659" i="14"/>
  <c r="B3548" i="14"/>
  <c r="B2711" i="14"/>
  <c r="B2893" i="14"/>
  <c r="B2517" i="14"/>
  <c r="C3634" i="14"/>
  <c r="C965" i="14"/>
  <c r="C1415" i="14"/>
  <c r="B4331" i="14"/>
  <c r="B3722" i="14"/>
  <c r="C1955" i="14"/>
  <c r="C3373" i="14"/>
  <c r="C1685" i="14"/>
  <c r="C3460" i="14"/>
  <c r="B20" i="14"/>
  <c r="B214" i="14"/>
  <c r="C467" i="14"/>
  <c r="B2737" i="14"/>
  <c r="B4418" i="14"/>
  <c r="C147" i="14"/>
  <c r="C83" i="14"/>
  <c r="C2607" i="14"/>
  <c r="C2633" i="14"/>
  <c r="B2945" i="14"/>
  <c r="C2763" i="14"/>
  <c r="C2996" i="14"/>
  <c r="B2919" i="14"/>
  <c r="B2815" i="14"/>
  <c r="B3809" i="14"/>
  <c r="B3023" i="14"/>
  <c r="B2424" i="14"/>
  <c r="C2711" i="14"/>
  <c r="C1595" i="14"/>
  <c r="B2789" i="14"/>
  <c r="C4156" i="14"/>
  <c r="B2763" i="14"/>
  <c r="C3547" i="14"/>
  <c r="B2943" i="14"/>
  <c r="C3895" i="14"/>
  <c r="B342" i="14"/>
  <c r="C2919" i="14"/>
  <c r="C3286" i="14"/>
  <c r="C3199" i="14"/>
  <c r="C4243" i="14"/>
  <c r="B2841" i="14"/>
  <c r="C2945" i="14"/>
  <c r="C1325" i="14"/>
  <c r="C2659" i="14"/>
  <c r="B2944" i="14"/>
  <c r="B4157" i="14"/>
  <c r="B3635" i="14"/>
  <c r="B2867" i="14"/>
  <c r="C275" i="14"/>
  <c r="C403" i="14"/>
  <c r="C2685" i="14"/>
  <c r="C2045" i="14"/>
  <c r="C2737" i="14"/>
  <c r="C3982" i="14"/>
  <c r="C2944" i="14"/>
  <c r="C1775" i="14"/>
  <c r="C4505" i="14"/>
  <c r="B470" i="14"/>
  <c r="B150" i="14"/>
  <c r="B86" i="14"/>
  <c r="B4244" i="14"/>
  <c r="C2815" i="14"/>
  <c r="B604" i="14"/>
  <c r="B534" i="14"/>
  <c r="C1505" i="14"/>
  <c r="B4070" i="14"/>
  <c r="B4505" i="14"/>
  <c r="C21" i="14"/>
  <c r="C3721" i="14"/>
  <c r="C339" i="14"/>
  <c r="C2841" i="14"/>
  <c r="C4069" i="14"/>
  <c r="H693" i="14" a="1"/>
  <c r="F3373" i="14"/>
  <c r="F3460" i="14"/>
  <c r="H2735" i="14" a="1"/>
  <c r="F469" i="14"/>
  <c r="H3806" i="14" a="1"/>
  <c r="F2632" i="14"/>
  <c r="H3980" i="14" a="1"/>
  <c r="G3981" i="14"/>
  <c r="G964" i="14"/>
  <c r="H1863" i="14" a="1"/>
  <c r="H81" i="14" a="1"/>
  <c r="H2709" i="14" a="1"/>
  <c r="H3371" i="14" a="1"/>
  <c r="F405" i="14"/>
  <c r="H2839" i="14" a="1"/>
  <c r="G604" i="14"/>
  <c r="G2788" i="14"/>
  <c r="G2840" i="14"/>
  <c r="G3546" i="14"/>
  <c r="G2606" i="14"/>
  <c r="G210" i="14"/>
  <c r="H3284" i="14" a="1"/>
  <c r="H465" i="14" a="1"/>
  <c r="G3285" i="14"/>
  <c r="G4068" i="14"/>
  <c r="G1324" i="14"/>
  <c r="F4069" i="14"/>
  <c r="G874" i="14"/>
  <c r="G531" i="14"/>
  <c r="F3895" i="14"/>
  <c r="G694" i="14"/>
  <c r="H1323" i="14" a="1"/>
  <c r="G1414" i="14"/>
  <c r="G2892" i="14"/>
  <c r="H1593" i="14" a="1"/>
  <c r="F213" i="14"/>
  <c r="F2866" i="14"/>
  <c r="H209" i="14" a="1"/>
  <c r="H3632" i="14" a="1"/>
  <c r="H1503" i="14" a="1"/>
  <c r="G4417" i="14"/>
  <c r="G2969" i="14"/>
  <c r="F2684" i="14"/>
  <c r="F3808" i="14"/>
  <c r="F3982" i="14"/>
  <c r="G2943" i="14"/>
  <c r="F3721" i="14"/>
  <c r="H2657" i="14" a="1"/>
  <c r="H2890" i="14" a="1"/>
  <c r="H2631" i="14" a="1"/>
  <c r="G1954" i="14"/>
  <c r="G1684" i="14"/>
  <c r="G1864" i="14"/>
  <c r="H4067" i="14" a="1"/>
  <c r="F2606" i="14"/>
  <c r="G3372" i="14"/>
  <c r="G1144" i="14"/>
  <c r="F2423" i="14"/>
  <c r="G2917" i="14"/>
  <c r="G338" i="14"/>
  <c r="G146" i="14"/>
  <c r="G2684" i="14"/>
  <c r="H2891" i="14" a="1"/>
  <c r="F3286" i="14"/>
  <c r="G3807" i="14"/>
  <c r="H3545" i="14" a="1"/>
  <c r="H2813" i="14" a="1"/>
  <c r="F3199" i="14"/>
  <c r="H1683" i="14" a="1"/>
  <c r="H530" i="14" a="1"/>
  <c r="H3719" i="14" a="1"/>
  <c r="F2658" i="14"/>
  <c r="H2865" i="14" a="1"/>
  <c r="F341" i="14"/>
  <c r="F2892" i="14"/>
  <c r="H337" i="14" a="1"/>
  <c r="G2658" i="14"/>
  <c r="G1054" i="14"/>
  <c r="H273" i="14" a="1"/>
  <c r="H2605" i="14" a="1"/>
  <c r="F19" i="14"/>
  <c r="F2788" i="14"/>
  <c r="H3458" i="14" a="1"/>
  <c r="F4243" i="14"/>
  <c r="H1413" i="14" a="1"/>
  <c r="H401" i="14" a="1"/>
  <c r="H2787" i="14" a="1"/>
  <c r="H873" i="14" a="1"/>
  <c r="G2866" i="14"/>
  <c r="G1504" i="14"/>
  <c r="H4329" i="14" a="1"/>
  <c r="F2840" i="14"/>
  <c r="H1053" i="14" a="1"/>
  <c r="H4594" i="14" a="1"/>
  <c r="G3459" i="14"/>
  <c r="G2918" i="14"/>
  <c r="F2996" i="14"/>
  <c r="F4330" i="14"/>
  <c r="F2762" i="14"/>
  <c r="F2918" i="14"/>
  <c r="H3197" i="14" a="1"/>
  <c r="F3547" i="14"/>
  <c r="F2516" i="14"/>
  <c r="G2632" i="14"/>
  <c r="G274" i="14"/>
  <c r="G3720" i="14"/>
  <c r="G3633" i="14"/>
  <c r="H2942" i="14" a="1"/>
  <c r="H1233" i="14" a="1"/>
  <c r="G1774" i="14"/>
  <c r="F4417" i="14"/>
  <c r="F149" i="14"/>
  <c r="H3893" i="14" a="1"/>
  <c r="F277" i="14"/>
  <c r="G2710" i="14"/>
  <c r="H783" i="14" a="1"/>
  <c r="G2762" i="14"/>
  <c r="F2917" i="14"/>
  <c r="G3198" i="14"/>
  <c r="H603" i="14" a="1"/>
  <c r="G4155" i="14"/>
  <c r="H145" i="14" a="1"/>
  <c r="H2683" i="14" a="1"/>
  <c r="G466" i="14"/>
  <c r="H2916" i="14" a="1"/>
  <c r="F2736" i="14"/>
  <c r="F2710" i="14"/>
  <c r="H2761" i="14" a="1"/>
  <c r="F2916" i="14"/>
  <c r="H19" i="14" a="1"/>
  <c r="G3894" i="14"/>
  <c r="G1594" i="14"/>
  <c r="G4682" i="14"/>
  <c r="H963" i="14" a="1"/>
  <c r="H1773" i="14" a="1"/>
  <c r="F603" i="14"/>
  <c r="H1143" i="14" a="1"/>
  <c r="F3634" i="14"/>
  <c r="G82" i="14"/>
  <c r="F2814" i="14"/>
  <c r="F85" i="14"/>
  <c r="G402" i="14"/>
  <c r="G1234" i="14"/>
  <c r="F4156" i="14"/>
  <c r="G20" i="14"/>
  <c r="G2736" i="14"/>
  <c r="G2814" i="14"/>
  <c r="G784" i="14"/>
  <c r="F534" i="14"/>
  <c r="H3980" i="14" l="1"/>
  <c r="H1053" i="14"/>
  <c r="H1683" i="14"/>
  <c r="H273" i="14"/>
  <c r="H2631" i="14"/>
  <c r="H145" i="14"/>
  <c r="H2709" i="14"/>
  <c r="H81" i="14"/>
  <c r="H1323" i="14"/>
  <c r="H1503" i="14"/>
  <c r="H2683" i="14"/>
  <c r="H530" i="14"/>
  <c r="H2839" i="14"/>
  <c r="H3719" i="14"/>
  <c r="H2813" i="14"/>
  <c r="H401" i="14"/>
  <c r="H963" i="14"/>
  <c r="H3806" i="14"/>
  <c r="H2942" i="14"/>
  <c r="H3893" i="14"/>
  <c r="H2787" i="14"/>
  <c r="H3632" i="14"/>
  <c r="H465" i="14"/>
  <c r="H1773" i="14"/>
  <c r="H2865" i="14"/>
  <c r="H1413" i="14"/>
  <c r="H4329" i="14"/>
  <c r="H4067" i="14"/>
  <c r="H3458" i="14"/>
  <c r="H2890" i="14"/>
  <c r="H3197" i="14"/>
  <c r="H2761" i="14"/>
  <c r="H783" i="14"/>
  <c r="H2605" i="14"/>
  <c r="H209" i="14"/>
  <c r="H873" i="14"/>
  <c r="H19" i="14"/>
  <c r="H1863" i="14"/>
  <c r="H2657" i="14"/>
  <c r="H3545" i="14"/>
  <c r="H1233" i="14"/>
  <c r="H2916" i="14"/>
  <c r="H2735" i="14"/>
  <c r="H1593" i="14"/>
  <c r="H603" i="14"/>
  <c r="H337" i="14"/>
  <c r="H3371" i="14"/>
  <c r="H3284" i="14"/>
  <c r="H4594" i="14"/>
  <c r="H2891" i="14"/>
  <c r="H1143" i="14"/>
  <c r="H693" i="14"/>
  <c r="C84" i="14"/>
  <c r="C148" i="14"/>
  <c r="C1776" i="14"/>
  <c r="B2518" i="14"/>
  <c r="B2686" i="14"/>
  <c r="B2660" i="14"/>
  <c r="C3461" i="14"/>
  <c r="B3984" i="14"/>
  <c r="B4158" i="14"/>
  <c r="B2971" i="14"/>
  <c r="C1506" i="14"/>
  <c r="C1236" i="14"/>
  <c r="B3375" i="14"/>
  <c r="B2972" i="14"/>
  <c r="B21" i="14"/>
  <c r="C2046" i="14"/>
  <c r="B605" i="14"/>
  <c r="B2816" i="14"/>
  <c r="C3023" i="14"/>
  <c r="B4419" i="14"/>
  <c r="C404" i="14"/>
  <c r="C4593" i="14"/>
  <c r="C340" i="14"/>
  <c r="C2946" i="14"/>
  <c r="C1956" i="14"/>
  <c r="C4858" i="14"/>
  <c r="C1596" i="14"/>
  <c r="C2136" i="14"/>
  <c r="B407" i="14"/>
  <c r="B2790" i="14"/>
  <c r="C2738" i="14"/>
  <c r="B2842" i="14"/>
  <c r="B2738" i="14"/>
  <c r="C2894" i="14"/>
  <c r="C22" i="14"/>
  <c r="B2894" i="14"/>
  <c r="C2686" i="14"/>
  <c r="C4331" i="14"/>
  <c r="C3983" i="14"/>
  <c r="C2660" i="14"/>
  <c r="B2764" i="14"/>
  <c r="C3548" i="14"/>
  <c r="C1146" i="14"/>
  <c r="C876" i="14"/>
  <c r="C4070" i="14"/>
  <c r="C3635" i="14"/>
  <c r="C2842" i="14"/>
  <c r="C2764" i="14"/>
  <c r="B2868" i="14"/>
  <c r="C1686" i="14"/>
  <c r="C3809" i="14"/>
  <c r="B4332" i="14"/>
  <c r="C1056" i="14"/>
  <c r="B3462" i="14"/>
  <c r="C1866" i="14"/>
  <c r="C966" i="14"/>
  <c r="B343" i="14"/>
  <c r="C4157" i="14"/>
  <c r="B151" i="14"/>
  <c r="B87" i="14"/>
  <c r="C2971" i="14"/>
  <c r="C1416" i="14"/>
  <c r="C3200" i="14"/>
  <c r="C3287" i="14"/>
  <c r="C4244" i="14"/>
  <c r="B2425" i="14"/>
  <c r="B2946" i="14"/>
  <c r="C2608" i="14"/>
  <c r="C2634" i="14"/>
  <c r="B3810" i="14"/>
  <c r="C3722" i="14"/>
  <c r="B3636" i="14"/>
  <c r="C2920" i="14"/>
  <c r="C696" i="14"/>
  <c r="C606" i="14"/>
  <c r="C1326" i="14"/>
  <c r="C2997" i="14"/>
  <c r="B471" i="14"/>
  <c r="C468" i="14"/>
  <c r="C2972" i="14"/>
  <c r="B2970" i="14"/>
  <c r="B535" i="14"/>
  <c r="B4245" i="14"/>
  <c r="C212" i="14"/>
  <c r="B4071" i="14"/>
  <c r="C2816" i="14"/>
  <c r="B3288" i="14"/>
  <c r="B3201" i="14"/>
  <c r="B3897" i="14"/>
  <c r="C2790" i="14"/>
  <c r="B279" i="14"/>
  <c r="B2920" i="14"/>
  <c r="C3896" i="14"/>
  <c r="C276" i="14"/>
  <c r="B4506" i="14"/>
  <c r="C2868" i="14"/>
  <c r="B4593" i="14"/>
  <c r="B215" i="14"/>
  <c r="C2712" i="14"/>
  <c r="B3723" i="14"/>
  <c r="C3374" i="14"/>
  <c r="B3050" i="14"/>
  <c r="C532" i="14"/>
  <c r="B3549" i="14"/>
  <c r="C786" i="14"/>
  <c r="B2712" i="14"/>
  <c r="B2608" i="14"/>
  <c r="B2634" i="14"/>
  <c r="H82" i="14" a="1"/>
  <c r="F3635" i="14"/>
  <c r="G2944" i="14"/>
  <c r="F3722" i="14"/>
  <c r="G4243" i="14"/>
  <c r="F3809" i="14"/>
  <c r="F3896" i="14"/>
  <c r="H2969" i="14" a="1"/>
  <c r="G21" i="14"/>
  <c r="G2607" i="14"/>
  <c r="G3634" i="14"/>
  <c r="F535" i="14"/>
  <c r="H3981" i="14" a="1"/>
  <c r="F4244" i="14"/>
  <c r="G467" i="14"/>
  <c r="H3372" i="14" a="1"/>
  <c r="G3721" i="14"/>
  <c r="H338" i="14" a="1"/>
  <c r="H2658" i="14" a="1"/>
  <c r="F20" i="14"/>
  <c r="G2841" i="14"/>
  <c r="H1504" i="14" a="1"/>
  <c r="F4505" i="14"/>
  <c r="H694" i="14" a="1"/>
  <c r="H604" i="14" a="1"/>
  <c r="F2424" i="14"/>
  <c r="G1415" i="14"/>
  <c r="H2918" i="14" a="1"/>
  <c r="F3461" i="14"/>
  <c r="F4157" i="14"/>
  <c r="G211" i="14"/>
  <c r="G1325" i="14"/>
  <c r="G3808" i="14"/>
  <c r="H2866" i="14" a="1"/>
  <c r="F2867" i="14"/>
  <c r="H964" i="14" a="1"/>
  <c r="H146" i="14" a="1"/>
  <c r="G1685" i="14"/>
  <c r="F4070" i="14"/>
  <c r="G147" i="14"/>
  <c r="G2763" i="14"/>
  <c r="F3374" i="14"/>
  <c r="H1594" i="14" a="1"/>
  <c r="G2045" i="14"/>
  <c r="H2892" i="14" a="1"/>
  <c r="H3198" i="14" a="1"/>
  <c r="H1954" i="14" a="1"/>
  <c r="H784" i="14" a="1"/>
  <c r="F2945" i="14"/>
  <c r="F2685" i="14"/>
  <c r="H1864" i="14" a="1"/>
  <c r="F214" i="14"/>
  <c r="G1505" i="14"/>
  <c r="H2632" i="14" a="1"/>
  <c r="G1955" i="14"/>
  <c r="G532" i="14"/>
  <c r="H1144" i="14" a="1"/>
  <c r="G1865" i="14"/>
  <c r="F2944" i="14"/>
  <c r="H3546" i="14" a="1"/>
  <c r="G2815" i="14"/>
  <c r="H1414" i="14" a="1"/>
  <c r="G2633" i="14"/>
  <c r="G3982" i="14"/>
  <c r="F2893" i="14"/>
  <c r="F3200" i="14"/>
  <c r="F2943" i="14"/>
  <c r="G785" i="14"/>
  <c r="G1775" i="14"/>
  <c r="F2919" i="14"/>
  <c r="H3459" i="14" a="1"/>
  <c r="G875" i="14"/>
  <c r="G2945" i="14"/>
  <c r="F150" i="14"/>
  <c r="F342" i="14"/>
  <c r="G3547" i="14"/>
  <c r="H274" i="14" a="1"/>
  <c r="F2789" i="14"/>
  <c r="H2762" i="14" a="1"/>
  <c r="H2606" i="14" a="1"/>
  <c r="G2919" i="14"/>
  <c r="F3548" i="14"/>
  <c r="H3285" i="14" a="1"/>
  <c r="H3894" i="14" a="1"/>
  <c r="H3807" i="14" a="1"/>
  <c r="G605" i="14"/>
  <c r="G1595" i="14"/>
  <c r="H4682" i="14" a="1"/>
  <c r="H4417" i="14" a="1"/>
  <c r="F2711" i="14"/>
  <c r="F3023" i="14"/>
  <c r="H2917" i="14" a="1"/>
  <c r="H2840" i="14" a="1"/>
  <c r="H2814" i="14" a="1"/>
  <c r="G3199" i="14"/>
  <c r="G695" i="14"/>
  <c r="F2763" i="14"/>
  <c r="G2711" i="14"/>
  <c r="H402" i="14" a="1"/>
  <c r="G1055" i="14"/>
  <c r="F2841" i="14"/>
  <c r="F278" i="14"/>
  <c r="H3720" i="14" a="1"/>
  <c r="G4069" i="14"/>
  <c r="G403" i="14"/>
  <c r="H466" i="14" a="1"/>
  <c r="G4505" i="14"/>
  <c r="G1145" i="14"/>
  <c r="H1774" i="14" a="1"/>
  <c r="G83" i="14"/>
  <c r="G3895" i="14"/>
  <c r="H2943" i="14" a="1"/>
  <c r="G2867" i="14"/>
  <c r="G2737" i="14"/>
  <c r="G1235" i="14"/>
  <c r="F86" i="14"/>
  <c r="H210" i="14" a="1"/>
  <c r="F2607" i="14"/>
  <c r="G2970" i="14"/>
  <c r="H2736" i="14" a="1"/>
  <c r="G4156" i="14"/>
  <c r="H874" i="14" a="1"/>
  <c r="H1324" i="14" a="1"/>
  <c r="H2788" i="14" a="1"/>
  <c r="G2685" i="14"/>
  <c r="G4770" i="14"/>
  <c r="H4155" i="14" a="1"/>
  <c r="H531" i="14" a="1"/>
  <c r="H1684" i="14" a="1"/>
  <c r="F2815" i="14"/>
  <c r="F2633" i="14"/>
  <c r="F4418" i="14"/>
  <c r="F470" i="14"/>
  <c r="G2789" i="14"/>
  <c r="H1234" i="14" a="1"/>
  <c r="F3287" i="14"/>
  <c r="F4331" i="14"/>
  <c r="F2737" i="14"/>
  <c r="G2893" i="14"/>
  <c r="G3286" i="14"/>
  <c r="H20" i="14" a="1"/>
  <c r="G2996" i="14"/>
  <c r="G275" i="14"/>
  <c r="H3633" i="14" a="1"/>
  <c r="F604" i="14"/>
  <c r="H2684" i="14" a="1"/>
  <c r="F2659" i="14"/>
  <c r="G965" i="14"/>
  <c r="G3460" i="14"/>
  <c r="F2517" i="14"/>
  <c r="F406" i="14"/>
  <c r="H1054" i="14" a="1"/>
  <c r="F3983" i="14"/>
  <c r="H2710" i="14" a="1"/>
  <c r="G2659" i="14"/>
  <c r="H4068" i="14" a="1"/>
  <c r="G3373" i="14"/>
  <c r="G339" i="14"/>
  <c r="H1594" i="14" l="1"/>
  <c r="H3372" i="14"/>
  <c r="H3546" i="14"/>
  <c r="H3198" i="14"/>
  <c r="H2969" i="14"/>
  <c r="H2892" i="14"/>
  <c r="H4682" i="14"/>
  <c r="H1504" i="14"/>
  <c r="H2658" i="14"/>
  <c r="H1954" i="14"/>
  <c r="H146" i="14"/>
  <c r="H2917" i="14"/>
  <c r="H402" i="14"/>
  <c r="H4417" i="14"/>
  <c r="H2762" i="14"/>
  <c r="H2710" i="14"/>
  <c r="H694" i="14"/>
  <c r="H2814" i="14"/>
  <c r="H3981" i="14"/>
  <c r="H3285" i="14"/>
  <c r="H2684" i="14"/>
  <c r="H2606" i="14"/>
  <c r="H1324" i="14"/>
  <c r="H3633" i="14"/>
  <c r="H1054" i="14"/>
  <c r="H3807" i="14"/>
  <c r="H4068" i="14"/>
  <c r="H4155" i="14"/>
  <c r="H1234" i="14"/>
  <c r="H2788" i="14"/>
  <c r="H3720" i="14"/>
  <c r="H338" i="14"/>
  <c r="H20" i="14"/>
  <c r="H1684" i="14"/>
  <c r="H2840" i="14"/>
  <c r="H2943" i="14"/>
  <c r="H3459" i="14"/>
  <c r="H466" i="14"/>
  <c r="H784" i="14"/>
  <c r="H964" i="14"/>
  <c r="H274" i="14"/>
  <c r="H210" i="14"/>
  <c r="H3894" i="14"/>
  <c r="H1144" i="14"/>
  <c r="H1774" i="14"/>
  <c r="H1864" i="14"/>
  <c r="H604" i="14"/>
  <c r="H874" i="14"/>
  <c r="H2736" i="14"/>
  <c r="H1414" i="14"/>
  <c r="H531" i="14"/>
  <c r="H2866" i="14"/>
  <c r="H2632" i="14"/>
  <c r="H2918" i="14"/>
  <c r="H82" i="14"/>
  <c r="C697" i="14"/>
  <c r="C607" i="14"/>
  <c r="B408" i="14"/>
  <c r="B2713" i="14"/>
  <c r="C787" i="14"/>
  <c r="B3898" i="14"/>
  <c r="C1057" i="14"/>
  <c r="B4420" i="14"/>
  <c r="C2687" i="14"/>
  <c r="B2869" i="14"/>
  <c r="B3077" i="14"/>
  <c r="B280" i="14"/>
  <c r="C2817" i="14"/>
  <c r="B4159" i="14"/>
  <c r="C2609" i="14"/>
  <c r="C2635" i="14"/>
  <c r="C3375" i="14"/>
  <c r="B88" i="14"/>
  <c r="B152" i="14"/>
  <c r="C3897" i="14"/>
  <c r="C2869" i="14"/>
  <c r="C1237" i="14"/>
  <c r="C23" i="14"/>
  <c r="C2765" i="14"/>
  <c r="C405" i="14"/>
  <c r="C3050" i="14"/>
  <c r="B22" i="14"/>
  <c r="C3549" i="14"/>
  <c r="C1867" i="14"/>
  <c r="C469" i="14"/>
  <c r="B2895" i="14"/>
  <c r="B2791" i="14"/>
  <c r="B2765" i="14"/>
  <c r="C2047" i="14"/>
  <c r="B606" i="14"/>
  <c r="B2635" i="14"/>
  <c r="B2609" i="14"/>
  <c r="C2739" i="14"/>
  <c r="B344" i="14"/>
  <c r="C2843" i="14"/>
  <c r="C1327" i="14"/>
  <c r="B2739" i="14"/>
  <c r="C2791" i="14"/>
  <c r="B4507" i="14"/>
  <c r="C877" i="14"/>
  <c r="C3462" i="14"/>
  <c r="B4681" i="14"/>
  <c r="B2997" i="14"/>
  <c r="C3024" i="14"/>
  <c r="B3724" i="14"/>
  <c r="B216" i="14"/>
  <c r="C1957" i="14"/>
  <c r="C4071" i="14"/>
  <c r="C1687" i="14"/>
  <c r="C1597" i="14"/>
  <c r="B3637" i="14"/>
  <c r="C2895" i="14"/>
  <c r="C533" i="14"/>
  <c r="B4246" i="14"/>
  <c r="C967" i="14"/>
  <c r="B4072" i="14"/>
  <c r="C2947" i="14"/>
  <c r="C2227" i="14"/>
  <c r="C3984" i="14"/>
  <c r="B3985" i="14"/>
  <c r="C277" i="14"/>
  <c r="C1417" i="14"/>
  <c r="C3288" i="14"/>
  <c r="C3201" i="14"/>
  <c r="C4419" i="14"/>
  <c r="B2817" i="14"/>
  <c r="B2843" i="14"/>
  <c r="C213" i="14"/>
  <c r="B3811" i="14"/>
  <c r="B3289" i="14"/>
  <c r="B3202" i="14"/>
  <c r="B4333" i="14"/>
  <c r="C3810" i="14"/>
  <c r="B2426" i="14"/>
  <c r="C1507" i="14"/>
  <c r="B2661" i="14"/>
  <c r="B3376" i="14"/>
  <c r="C1147" i="14"/>
  <c r="C4158" i="14"/>
  <c r="C2713" i="14"/>
  <c r="B472" i="14"/>
  <c r="B3463" i="14"/>
  <c r="B4594" i="14"/>
  <c r="C2998" i="14"/>
  <c r="B2921" i="14"/>
  <c r="C2973" i="14"/>
  <c r="C2137" i="14"/>
  <c r="C341" i="14"/>
  <c r="B536" i="14"/>
  <c r="C2661" i="14"/>
  <c r="C4332" i="14"/>
  <c r="B2519" i="14"/>
  <c r="B2947" i="14"/>
  <c r="C2999" i="14"/>
  <c r="B2973" i="14"/>
  <c r="C4245" i="14"/>
  <c r="B3550" i="14"/>
  <c r="C1777" i="14"/>
  <c r="C3723" i="14"/>
  <c r="C3636" i="14"/>
  <c r="C2921" i="14"/>
  <c r="C4946" i="14"/>
  <c r="C4681" i="14"/>
  <c r="B2999" i="14"/>
  <c r="B2998" i="14"/>
  <c r="B2687" i="14"/>
  <c r="C149" i="14"/>
  <c r="C85" i="14"/>
  <c r="H2685" i="14" a="1"/>
  <c r="F2712" i="14"/>
  <c r="F3723" i="14"/>
  <c r="H3895" i="14" a="1"/>
  <c r="F3636" i="14"/>
  <c r="G2634" i="14"/>
  <c r="F4593" i="14"/>
  <c r="G696" i="14"/>
  <c r="F215" i="14"/>
  <c r="G2046" i="14"/>
  <c r="G2660" i="14"/>
  <c r="F3897" i="14"/>
  <c r="H3460" i="14" a="1"/>
  <c r="G84" i="14"/>
  <c r="G1416" i="14"/>
  <c r="H2633" i="14" a="1"/>
  <c r="F3050" i="14"/>
  <c r="G4070" i="14"/>
  <c r="H532" i="14" a="1"/>
  <c r="G2816" i="14"/>
  <c r="F4506" i="14"/>
  <c r="G3983" i="14"/>
  <c r="F471" i="14"/>
  <c r="F2816" i="14"/>
  <c r="H4243" i="14" a="1"/>
  <c r="H2996" i="14" a="1"/>
  <c r="G3374" i="14"/>
  <c r="F2425" i="14"/>
  <c r="G404" i="14"/>
  <c r="H3634" i="14" a="1"/>
  <c r="G4331" i="14"/>
  <c r="H875" i="14" a="1"/>
  <c r="H4770" i="14" a="1"/>
  <c r="G1146" i="14"/>
  <c r="G2842" i="14"/>
  <c r="G148" i="14"/>
  <c r="F2894" i="14"/>
  <c r="F2764" i="14"/>
  <c r="G2971" i="14"/>
  <c r="G212" i="14"/>
  <c r="F605" i="14"/>
  <c r="H403" i="14" a="1"/>
  <c r="G1686" i="14"/>
  <c r="G1506" i="14"/>
  <c r="H1505" i="14" a="1"/>
  <c r="G4858" i="14"/>
  <c r="G2136" i="14"/>
  <c r="H2763" i="14" a="1"/>
  <c r="G468" i="14"/>
  <c r="G606" i="14"/>
  <c r="H21" i="14" a="1"/>
  <c r="G2920" i="14"/>
  <c r="F3810" i="14"/>
  <c r="H2737" i="14" a="1"/>
  <c r="G3548" i="14"/>
  <c r="F2842" i="14"/>
  <c r="H965" i="14" a="1"/>
  <c r="G966" i="14"/>
  <c r="F2868" i="14"/>
  <c r="H605" i="14" a="1"/>
  <c r="G3809" i="14"/>
  <c r="G4157" i="14"/>
  <c r="H1595" i="14" a="1"/>
  <c r="H2919" i="14" a="1"/>
  <c r="F3462" i="14"/>
  <c r="G2686" i="14"/>
  <c r="H1865" i="14" a="1"/>
  <c r="G4593" i="14"/>
  <c r="G2972" i="14"/>
  <c r="H1955" i="14" a="1"/>
  <c r="H1145" i="14" a="1"/>
  <c r="H1415" i="14" a="1"/>
  <c r="H3808" i="14" a="1"/>
  <c r="G3722" i="14"/>
  <c r="H2815" i="14" a="1"/>
  <c r="H211" i="14" a="1"/>
  <c r="G3461" i="14"/>
  <c r="F279" i="14"/>
  <c r="F151" i="14"/>
  <c r="F2920" i="14"/>
  <c r="H1775" i="14" a="1"/>
  <c r="H4069" i="14" a="1"/>
  <c r="F2608" i="14"/>
  <c r="H2944" i="14" a="1"/>
  <c r="F4158" i="14"/>
  <c r="G22" i="14"/>
  <c r="G3200" i="14"/>
  <c r="G1956" i="14"/>
  <c r="H2659" i="14" a="1"/>
  <c r="H1685" i="14" a="1"/>
  <c r="F4071" i="14"/>
  <c r="H4156" i="14" a="1"/>
  <c r="H4505" i="14" a="1"/>
  <c r="G876" i="14"/>
  <c r="G4244" i="14"/>
  <c r="H2970" i="14" a="1"/>
  <c r="F4245" i="14"/>
  <c r="F2946" i="14"/>
  <c r="H2711" i="14" a="1"/>
  <c r="F21" i="14"/>
  <c r="G1326" i="14"/>
  <c r="H2789" i="14" a="1"/>
  <c r="G1866" i="14"/>
  <c r="F3201" i="14"/>
  <c r="H83" i="14" a="1"/>
  <c r="G2894" i="14"/>
  <c r="G1056" i="14"/>
  <c r="H2045" i="14" a="1"/>
  <c r="F2686" i="14"/>
  <c r="F2660" i="14"/>
  <c r="H467" i="14" a="1"/>
  <c r="G1236" i="14"/>
  <c r="G2738" i="14"/>
  <c r="G2997" i="14"/>
  <c r="G2868" i="14"/>
  <c r="F3984" i="14"/>
  <c r="H3721" i="14" a="1"/>
  <c r="G3635" i="14"/>
  <c r="G276" i="14"/>
  <c r="H2867" i="14" a="1"/>
  <c r="G1776" i="14"/>
  <c r="F87" i="14"/>
  <c r="G533" i="14"/>
  <c r="H3373" i="14" a="1"/>
  <c r="F536" i="14"/>
  <c r="F407" i="14"/>
  <c r="G3287" i="14"/>
  <c r="G340" i="14"/>
  <c r="G1596" i="14"/>
  <c r="H3286" i="14" a="1"/>
  <c r="H3199" i="14" a="1"/>
  <c r="H2607" i="14" a="1"/>
  <c r="F4332" i="14"/>
  <c r="H785" i="14" a="1"/>
  <c r="F2518" i="14"/>
  <c r="G2946" i="14"/>
  <c r="G786" i="14"/>
  <c r="F3549" i="14"/>
  <c r="H695" i="14" a="1"/>
  <c r="F4419" i="14"/>
  <c r="F3288" i="14"/>
  <c r="F2971" i="14"/>
  <c r="H1325" i="14" a="1"/>
  <c r="F2634" i="14"/>
  <c r="H339" i="14" a="1"/>
  <c r="F2790" i="14"/>
  <c r="F3375" i="14"/>
  <c r="G3023" i="14"/>
  <c r="H2945" i="14" a="1"/>
  <c r="H2841" i="14" a="1"/>
  <c r="F2972" i="14"/>
  <c r="G2712" i="14"/>
  <c r="H3982" i="14" a="1"/>
  <c r="H275" i="14" a="1"/>
  <c r="H2893" i="14" a="1"/>
  <c r="G2608" i="14"/>
  <c r="H147" i="14" a="1"/>
  <c r="G3896" i="14"/>
  <c r="H1055" i="14" a="1"/>
  <c r="G2790" i="14"/>
  <c r="F2738" i="14"/>
  <c r="F343" i="14"/>
  <c r="F2970" i="14"/>
  <c r="H1235" i="14" a="1"/>
  <c r="H3547" i="14" a="1"/>
  <c r="G2764" i="14"/>
  <c r="H1325" i="14" l="1"/>
  <c r="H2659" i="14"/>
  <c r="H1775" i="14"/>
  <c r="H3634" i="14"/>
  <c r="H4069" i="14"/>
  <c r="H2893" i="14"/>
  <c r="H1235" i="14"/>
  <c r="H1685" i="14"/>
  <c r="H2944" i="14"/>
  <c r="H147" i="14"/>
  <c r="H3286" i="14"/>
  <c r="H3199" i="14"/>
  <c r="H211" i="14"/>
  <c r="H2841" i="14"/>
  <c r="H4770" i="14"/>
  <c r="H695" i="14"/>
  <c r="H2996" i="14"/>
  <c r="H2607" i="14"/>
  <c r="H3982" i="14"/>
  <c r="H1145" i="14"/>
  <c r="H1955" i="14"/>
  <c r="H2867" i="14"/>
  <c r="H785" i="14"/>
  <c r="H275" i="14"/>
  <c r="H3808" i="14"/>
  <c r="H1415" i="14"/>
  <c r="H875" i="14"/>
  <c r="H467" i="14"/>
  <c r="H2045" i="14"/>
  <c r="H83" i="14"/>
  <c r="H2815" i="14"/>
  <c r="H2945" i="14"/>
  <c r="H2919" i="14"/>
  <c r="H1595" i="14"/>
  <c r="H1055" i="14"/>
  <c r="H605" i="14"/>
  <c r="H965" i="14"/>
  <c r="H2737" i="14"/>
  <c r="H1865" i="14"/>
  <c r="H3721" i="14"/>
  <c r="H2970" i="14"/>
  <c r="H4505" i="14"/>
  <c r="H3373" i="14"/>
  <c r="H532" i="14"/>
  <c r="H2633" i="14"/>
  <c r="H3460" i="14"/>
  <c r="H2789" i="14"/>
  <c r="H2711" i="14"/>
  <c r="H1505" i="14"/>
  <c r="H403" i="14"/>
  <c r="H4243" i="14"/>
  <c r="H4156" i="14"/>
  <c r="H3547" i="14"/>
  <c r="H339" i="14"/>
  <c r="H21" i="14"/>
  <c r="H2763" i="14"/>
  <c r="H3895" i="14"/>
  <c r="H2685" i="14"/>
  <c r="C5034" i="14"/>
  <c r="B3551" i="14"/>
  <c r="B537" i="14"/>
  <c r="C3898" i="14"/>
  <c r="B3899" i="14"/>
  <c r="C968" i="14"/>
  <c r="B2636" i="14"/>
  <c r="B2610" i="14"/>
  <c r="B2792" i="14"/>
  <c r="C470" i="14"/>
  <c r="C2662" i="14"/>
  <c r="B4508" i="14"/>
  <c r="B2974" i="14"/>
  <c r="C4159" i="14"/>
  <c r="C1868" i="14"/>
  <c r="B3812" i="14"/>
  <c r="B2766" i="14"/>
  <c r="B2948" i="14"/>
  <c r="C2896" i="14"/>
  <c r="B2662" i="14"/>
  <c r="B2818" i="14"/>
  <c r="C2792" i="14"/>
  <c r="C406" i="14"/>
  <c r="C3025" i="14"/>
  <c r="B2688" i="14"/>
  <c r="B4421" i="14"/>
  <c r="C3376" i="14"/>
  <c r="C4072" i="14"/>
  <c r="C1058" i="14"/>
  <c r="B3024" i="14"/>
  <c r="C698" i="14"/>
  <c r="C608" i="14"/>
  <c r="C150" i="14"/>
  <c r="C86" i="14"/>
  <c r="B2870" i="14"/>
  <c r="B4334" i="14"/>
  <c r="B281" i="14"/>
  <c r="B409" i="14"/>
  <c r="B2922" i="14"/>
  <c r="B23" i="14"/>
  <c r="C24" i="14"/>
  <c r="B153" i="14"/>
  <c r="B89" i="14"/>
  <c r="B2896" i="14"/>
  <c r="C3000" i="14"/>
  <c r="C4507" i="14"/>
  <c r="C2974" i="14"/>
  <c r="B345" i="14"/>
  <c r="B2740" i="14"/>
  <c r="C2948" i="14"/>
  <c r="B4160" i="14"/>
  <c r="C3051" i="14"/>
  <c r="B3025" i="14"/>
  <c r="B3638" i="14"/>
  <c r="B3464" i="14"/>
  <c r="B4073" i="14"/>
  <c r="C2922" i="14"/>
  <c r="C3637" i="14"/>
  <c r="B3104" i="14"/>
  <c r="B3026" i="14"/>
  <c r="C2048" i="14"/>
  <c r="C3985" i="14"/>
  <c r="C2636" i="14"/>
  <c r="C2610" i="14"/>
  <c r="C1148" i="14"/>
  <c r="B3725" i="14"/>
  <c r="C214" i="14"/>
  <c r="C4769" i="14"/>
  <c r="C3811" i="14"/>
  <c r="B3000" i="14"/>
  <c r="C4420" i="14"/>
  <c r="C2228" i="14"/>
  <c r="B4682" i="14"/>
  <c r="C4246" i="14"/>
  <c r="C1598" i="14"/>
  <c r="B3290" i="14"/>
  <c r="B3203" i="14"/>
  <c r="B2844" i="14"/>
  <c r="C1508" i="14"/>
  <c r="C2318" i="14"/>
  <c r="C1688" i="14"/>
  <c r="B4769" i="14"/>
  <c r="C2818" i="14"/>
  <c r="C2138" i="14"/>
  <c r="C1328" i="14"/>
  <c r="C2844" i="14"/>
  <c r="C2714" i="14"/>
  <c r="C878" i="14"/>
  <c r="C788" i="14"/>
  <c r="C342" i="14"/>
  <c r="C2766" i="14"/>
  <c r="C1958" i="14"/>
  <c r="C1418" i="14"/>
  <c r="B473" i="14"/>
  <c r="C4333" i="14"/>
  <c r="C278" i="14"/>
  <c r="C3289" i="14"/>
  <c r="C3202" i="14"/>
  <c r="C3724" i="14"/>
  <c r="B2520" i="14"/>
  <c r="C2740" i="14"/>
  <c r="B4595" i="14"/>
  <c r="C2870" i="14"/>
  <c r="B607" i="14"/>
  <c r="B217" i="14"/>
  <c r="B4247" i="14"/>
  <c r="B3986" i="14"/>
  <c r="B2714" i="14"/>
  <c r="C3026" i="14"/>
  <c r="C2688" i="14"/>
  <c r="C1238" i="14"/>
  <c r="B2427" i="14"/>
  <c r="B3377" i="14"/>
  <c r="C1778" i="14"/>
  <c r="C3550" i="14"/>
  <c r="C534" i="14"/>
  <c r="C3077" i="14"/>
  <c r="C3463" i="14"/>
  <c r="H3023" i="14" a="1"/>
  <c r="G1327" i="14"/>
  <c r="G3549" i="14"/>
  <c r="F2791" i="14"/>
  <c r="F2713" i="14"/>
  <c r="H84" i="14" a="1"/>
  <c r="G3375" i="14"/>
  <c r="G4245" i="14"/>
  <c r="G3984" i="14"/>
  <c r="F280" i="14"/>
  <c r="F3376" i="14"/>
  <c r="H2686" i="14" a="1"/>
  <c r="G4158" i="14"/>
  <c r="H876" i="14" a="1"/>
  <c r="F2661" i="14"/>
  <c r="G405" i="14"/>
  <c r="H2894" i="14" a="1"/>
  <c r="H2971" i="14" a="1"/>
  <c r="G3636" i="14"/>
  <c r="G1507" i="14"/>
  <c r="H2764" i="14" a="1"/>
  <c r="G1597" i="14"/>
  <c r="G23" i="14"/>
  <c r="G2999" i="14"/>
  <c r="F3202" i="14"/>
  <c r="H1506" i="14" a="1"/>
  <c r="G149" i="14"/>
  <c r="F2947" i="14"/>
  <c r="F2998" i="14"/>
  <c r="H606" i="14" a="1"/>
  <c r="F4507" i="14"/>
  <c r="G2869" i="14"/>
  <c r="H3635" i="14" a="1"/>
  <c r="F4594" i="14"/>
  <c r="H1956" i="14" a="1"/>
  <c r="H3461" i="14" a="1"/>
  <c r="F344" i="14"/>
  <c r="G2843" i="14"/>
  <c r="G967" i="14"/>
  <c r="G1237" i="14"/>
  <c r="H3548" i="14" a="1"/>
  <c r="G1147" i="14"/>
  <c r="H4070" i="14" a="1"/>
  <c r="G85" i="14"/>
  <c r="H3983" i="14" a="1"/>
  <c r="F2843" i="14"/>
  <c r="H2816" i="14" a="1"/>
  <c r="G3810" i="14"/>
  <c r="H3896" i="14" a="1"/>
  <c r="G1417" i="14"/>
  <c r="F3811" i="14"/>
  <c r="F2817" i="14"/>
  <c r="F152" i="14"/>
  <c r="H2946" i="14" a="1"/>
  <c r="F2519" i="14"/>
  <c r="G4071" i="14"/>
  <c r="F4159" i="14"/>
  <c r="G469" i="14"/>
  <c r="H2842" i="14" a="1"/>
  <c r="G3024" i="14"/>
  <c r="G4419" i="14"/>
  <c r="H1056" i="14" a="1"/>
  <c r="F2635" i="14"/>
  <c r="H3722" i="14" a="1"/>
  <c r="F2999" i="14"/>
  <c r="H2634" i="14" a="1"/>
  <c r="G2227" i="14"/>
  <c r="G2947" i="14"/>
  <c r="H1326" i="14" a="1"/>
  <c r="H3200" i="14" a="1"/>
  <c r="H1236" i="14" a="1"/>
  <c r="F2869" i="14"/>
  <c r="H696" i="14" a="1"/>
  <c r="F4333" i="14"/>
  <c r="F4072" i="14"/>
  <c r="F2426" i="14"/>
  <c r="F2609" i="14"/>
  <c r="H212" i="14" a="1"/>
  <c r="H2868" i="14" a="1"/>
  <c r="G4681" i="14"/>
  <c r="G3897" i="14"/>
  <c r="G2713" i="14"/>
  <c r="F472" i="14"/>
  <c r="G2791" i="14"/>
  <c r="H1416" i="14" a="1"/>
  <c r="G341" i="14"/>
  <c r="H276" i="14" a="1"/>
  <c r="H4157" i="14" a="1"/>
  <c r="G877" i="14"/>
  <c r="H966" i="14" a="1"/>
  <c r="G2687" i="14"/>
  <c r="G4332" i="14"/>
  <c r="H786" i="14" a="1"/>
  <c r="F2895" i="14"/>
  <c r="H533" i="14" a="1"/>
  <c r="F216" i="14"/>
  <c r="G697" i="14"/>
  <c r="G1957" i="14"/>
  <c r="G1867" i="14"/>
  <c r="F2973" i="14"/>
  <c r="G2998" i="14"/>
  <c r="F3289" i="14"/>
  <c r="H1776" i="14" a="1"/>
  <c r="G2817" i="14"/>
  <c r="H1596" i="14" a="1"/>
  <c r="F2739" i="14"/>
  <c r="F3724" i="14"/>
  <c r="F606" i="14"/>
  <c r="H404" i="14" a="1"/>
  <c r="H1686" i="14" a="1"/>
  <c r="G3462" i="14"/>
  <c r="H340" i="14" a="1"/>
  <c r="G2635" i="14"/>
  <c r="G2609" i="14"/>
  <c r="F2997" i="14"/>
  <c r="H2920" i="14" a="1"/>
  <c r="H148" i="14" a="1"/>
  <c r="G1777" i="14"/>
  <c r="G2137" i="14"/>
  <c r="F2765" i="14"/>
  <c r="G2739" i="14"/>
  <c r="H3374" i="14" a="1"/>
  <c r="F4420" i="14"/>
  <c r="G534" i="14"/>
  <c r="G3288" i="14"/>
  <c r="F2687" i="14"/>
  <c r="H4593" i="14" a="1"/>
  <c r="F3550" i="14"/>
  <c r="H2790" i="14" a="1"/>
  <c r="G2973" i="14"/>
  <c r="G213" i="14"/>
  <c r="H2136" i="14" a="1"/>
  <c r="H2608" i="14" a="1"/>
  <c r="F408" i="14"/>
  <c r="F2921" i="14"/>
  <c r="H2660" i="14" a="1"/>
  <c r="G3201" i="14"/>
  <c r="F3637" i="14"/>
  <c r="H2738" i="14" a="1"/>
  <c r="G2765" i="14"/>
  <c r="G787" i="14"/>
  <c r="F3077" i="14"/>
  <c r="G1687" i="14"/>
  <c r="H4331" i="14" a="1"/>
  <c r="H2972" i="14" a="1"/>
  <c r="G2661" i="14"/>
  <c r="H3809" i="14" a="1"/>
  <c r="G2047" i="14"/>
  <c r="H2997" i="14" a="1"/>
  <c r="G5034" i="14"/>
  <c r="F4681" i="14"/>
  <c r="G2921" i="14"/>
  <c r="F88" i="14"/>
  <c r="H1146" i="14" a="1"/>
  <c r="H4858" i="14" a="1"/>
  <c r="F22" i="14"/>
  <c r="H2046" i="14" a="1"/>
  <c r="G3050" i="14"/>
  <c r="G277" i="14"/>
  <c r="H468" i="14" a="1"/>
  <c r="H4244" i="14" a="1"/>
  <c r="G4946" i="14"/>
  <c r="H2712" i="14" a="1"/>
  <c r="H1866" i="14" a="1"/>
  <c r="G3723" i="14"/>
  <c r="F3463" i="14"/>
  <c r="G2895" i="14"/>
  <c r="G607" i="14"/>
  <c r="F3985" i="14"/>
  <c r="F4246" i="14"/>
  <c r="H3287" i="14" a="1"/>
  <c r="F537" i="14"/>
  <c r="F3898" i="14"/>
  <c r="G1057" i="14"/>
  <c r="H22" i="14" a="1"/>
  <c r="H2894" i="14" l="1"/>
  <c r="H1056" i="14"/>
  <c r="H2686" i="14"/>
  <c r="H3461" i="14"/>
  <c r="H4244" i="14"/>
  <c r="H2660" i="14"/>
  <c r="H4331" i="14"/>
  <c r="H3635" i="14"/>
  <c r="H1686" i="14"/>
  <c r="H3287" i="14"/>
  <c r="H3983" i="14"/>
  <c r="H4858" i="14"/>
  <c r="H966" i="14"/>
  <c r="H2608" i="14"/>
  <c r="H2136" i="14"/>
  <c r="H4157" i="14"/>
  <c r="H1776" i="14"/>
  <c r="H1956" i="14"/>
  <c r="H1866" i="14"/>
  <c r="H3809" i="14"/>
  <c r="H2972" i="14"/>
  <c r="H786" i="14"/>
  <c r="H1326" i="14"/>
  <c r="H2868" i="14"/>
  <c r="H533" i="14"/>
  <c r="H876" i="14"/>
  <c r="H2046" i="14"/>
  <c r="H696" i="14"/>
  <c r="H1236" i="14"/>
  <c r="H276" i="14"/>
  <c r="H2764" i="14"/>
  <c r="H2790" i="14"/>
  <c r="H1506" i="14"/>
  <c r="H2712" i="14"/>
  <c r="H2997" i="14"/>
  <c r="H148" i="14"/>
  <c r="H340" i="14"/>
  <c r="H2920" i="14"/>
  <c r="H22" i="14"/>
  <c r="H2634" i="14"/>
  <c r="H212" i="14"/>
  <c r="H606" i="14"/>
  <c r="H2738" i="14"/>
  <c r="H2946" i="14"/>
  <c r="H3896" i="14"/>
  <c r="H3200" i="14"/>
  <c r="H3548" i="14"/>
  <c r="H2971" i="14"/>
  <c r="H4593" i="14"/>
  <c r="H1146" i="14"/>
  <c r="H3374" i="14"/>
  <c r="H84" i="14"/>
  <c r="H3023" i="14"/>
  <c r="H1416" i="14"/>
  <c r="H468" i="14"/>
  <c r="H2816" i="14"/>
  <c r="H3722" i="14"/>
  <c r="H404" i="14"/>
  <c r="H2842" i="14"/>
  <c r="H4070" i="14"/>
  <c r="H1596" i="14"/>
  <c r="B4248" i="14"/>
  <c r="B282" i="14"/>
  <c r="C3377" i="14"/>
  <c r="C1509" i="14"/>
  <c r="C1419" i="14"/>
  <c r="B3378" i="14"/>
  <c r="C2319" i="14"/>
  <c r="C2611" i="14"/>
  <c r="C2637" i="14"/>
  <c r="B3053" i="14"/>
  <c r="B4161" i="14"/>
  <c r="C3078" i="14"/>
  <c r="B2897" i="14"/>
  <c r="B3051" i="14"/>
  <c r="C2819" i="14"/>
  <c r="C4247" i="14"/>
  <c r="C1059" i="14"/>
  <c r="B3639" i="14"/>
  <c r="C3104" i="14"/>
  <c r="B3465" i="14"/>
  <c r="C3053" i="14"/>
  <c r="C2767" i="14"/>
  <c r="C969" i="14"/>
  <c r="C2409" i="14"/>
  <c r="C4857" i="14"/>
  <c r="B3131" i="14"/>
  <c r="B154" i="14"/>
  <c r="B90" i="14"/>
  <c r="B2949" i="14"/>
  <c r="B4509" i="14"/>
  <c r="B2975" i="14"/>
  <c r="C535" i="14"/>
  <c r="C343" i="14"/>
  <c r="B2741" i="14"/>
  <c r="C2741" i="14"/>
  <c r="C151" i="14"/>
  <c r="C87" i="14"/>
  <c r="B2845" i="14"/>
  <c r="B4074" i="14"/>
  <c r="B346" i="14"/>
  <c r="C3638" i="14"/>
  <c r="C2897" i="14"/>
  <c r="C3812" i="14"/>
  <c r="B538" i="14"/>
  <c r="B3813" i="14"/>
  <c r="C2949" i="14"/>
  <c r="C3027" i="14"/>
  <c r="C25" i="14"/>
  <c r="C699" i="14"/>
  <c r="C609" i="14"/>
  <c r="C4160" i="14"/>
  <c r="B2689" i="14"/>
  <c r="B3900" i="14"/>
  <c r="B4596" i="14"/>
  <c r="B2428" i="14"/>
  <c r="B608" i="14"/>
  <c r="B2521" i="14"/>
  <c r="C2049" i="14"/>
  <c r="C2229" i="14"/>
  <c r="C2663" i="14"/>
  <c r="B3552" i="14"/>
  <c r="B218" i="14"/>
  <c r="C1149" i="14"/>
  <c r="B3987" i="14"/>
  <c r="C2845" i="14"/>
  <c r="C1689" i="14"/>
  <c r="C4595" i="14"/>
  <c r="B2715" i="14"/>
  <c r="C4334" i="14"/>
  <c r="C3725" i="14"/>
  <c r="C215" i="14"/>
  <c r="C3551" i="14"/>
  <c r="C407" i="14"/>
  <c r="C2871" i="14"/>
  <c r="B4857" i="14"/>
  <c r="B2871" i="14"/>
  <c r="B4770" i="14"/>
  <c r="C1239" i="14"/>
  <c r="C2139" i="14"/>
  <c r="B3052" i="14"/>
  <c r="B2767" i="14"/>
  <c r="B4422" i="14"/>
  <c r="C789" i="14"/>
  <c r="C2923" i="14"/>
  <c r="B2663" i="14"/>
  <c r="C3001" i="14"/>
  <c r="B474" i="14"/>
  <c r="B2793" i="14"/>
  <c r="B2819" i="14"/>
  <c r="C4508" i="14"/>
  <c r="C279" i="14"/>
  <c r="C4073" i="14"/>
  <c r="B3726" i="14"/>
  <c r="B3001" i="14"/>
  <c r="C1329" i="14"/>
  <c r="C4421" i="14"/>
  <c r="C2793" i="14"/>
  <c r="C1599" i="14"/>
  <c r="B3027" i="14"/>
  <c r="C2975" i="14"/>
  <c r="C3052" i="14"/>
  <c r="B2611" i="14"/>
  <c r="B2637" i="14"/>
  <c r="C3986" i="14"/>
  <c r="C1869" i="14"/>
  <c r="C2715" i="14"/>
  <c r="B4335" i="14"/>
  <c r="B4683" i="14"/>
  <c r="C3290" i="14"/>
  <c r="C3203" i="14"/>
  <c r="C879" i="14"/>
  <c r="C1779" i="14"/>
  <c r="B3204" i="14"/>
  <c r="B3291" i="14"/>
  <c r="C3899" i="14"/>
  <c r="B410" i="14"/>
  <c r="B2923" i="14"/>
  <c r="B24" i="14"/>
  <c r="C3464" i="14"/>
  <c r="C471" i="14"/>
  <c r="C1959" i="14"/>
  <c r="C2689" i="14"/>
  <c r="H2973" i="14" a="1"/>
  <c r="F4769" i="14"/>
  <c r="G3898" i="14"/>
  <c r="F281" i="14"/>
  <c r="H4071" i="14" a="1"/>
  <c r="F4160" i="14"/>
  <c r="F3638" i="14"/>
  <c r="H697" i="14" a="1"/>
  <c r="H277" i="14" a="1"/>
  <c r="G214" i="14"/>
  <c r="G3637" i="14"/>
  <c r="H3549" i="14" a="1"/>
  <c r="H213" i="14" a="1"/>
  <c r="F2844" i="14"/>
  <c r="G342" i="14"/>
  <c r="F3551" i="14"/>
  <c r="H2895" i="14" a="1"/>
  <c r="F2636" i="14"/>
  <c r="G4420" i="14"/>
  <c r="G2636" i="14"/>
  <c r="H2998" i="14" a="1"/>
  <c r="F3290" i="14"/>
  <c r="F3899" i="14"/>
  <c r="F2427" i="14"/>
  <c r="F607" i="14"/>
  <c r="G1508" i="14"/>
  <c r="G4072" i="14"/>
  <c r="F2662" i="14"/>
  <c r="G406" i="14"/>
  <c r="H1777" i="14" a="1"/>
  <c r="G968" i="14"/>
  <c r="F2870" i="14"/>
  <c r="G1598" i="14"/>
  <c r="G2922" i="14"/>
  <c r="H341" i="14" a="1"/>
  <c r="F2922" i="14"/>
  <c r="G470" i="14"/>
  <c r="H1327" i="14" a="1"/>
  <c r="H1057" i="14" a="1"/>
  <c r="G1868" i="14"/>
  <c r="G535" i="14"/>
  <c r="G4159" i="14"/>
  <c r="G2688" i="14"/>
  <c r="F3104" i="14"/>
  <c r="F3203" i="14"/>
  <c r="G4333" i="14"/>
  <c r="F4421" i="14"/>
  <c r="H2227" i="14" a="1"/>
  <c r="H1687" i="14" a="1"/>
  <c r="F3024" i="14"/>
  <c r="G3550" i="14"/>
  <c r="F3812" i="14"/>
  <c r="F345" i="14"/>
  <c r="H1237" i="14" a="1"/>
  <c r="G2610" i="14"/>
  <c r="G2318" i="14"/>
  <c r="G1328" i="14"/>
  <c r="H967" i="14" a="1"/>
  <c r="G4507" i="14"/>
  <c r="G2138" i="14"/>
  <c r="H2137" i="14" a="1"/>
  <c r="G3202" i="14"/>
  <c r="G3463" i="14"/>
  <c r="H2999" i="14" a="1"/>
  <c r="H534" i="14" a="1"/>
  <c r="G2048" i="14"/>
  <c r="F4508" i="14"/>
  <c r="G1148" i="14"/>
  <c r="H3984" i="14" a="1"/>
  <c r="F2688" i="14"/>
  <c r="F3464" i="14"/>
  <c r="H4681" i="14" a="1"/>
  <c r="H2843" i="14" a="1"/>
  <c r="G4246" i="14"/>
  <c r="G2844" i="14"/>
  <c r="F538" i="14"/>
  <c r="H4946" i="14" a="1"/>
  <c r="F217" i="14"/>
  <c r="H3024" i="14" a="1"/>
  <c r="H2635" i="14" a="1"/>
  <c r="H2765" i="14" a="1"/>
  <c r="H4332" i="14" a="1"/>
  <c r="G2818" i="14"/>
  <c r="F2948" i="14"/>
  <c r="H2609" i="14" a="1"/>
  <c r="G2766" i="14"/>
  <c r="H1957" i="14" a="1"/>
  <c r="H607" i="14" a="1"/>
  <c r="G2792" i="14"/>
  <c r="G878" i="14"/>
  <c r="G2714" i="14"/>
  <c r="G2870" i="14"/>
  <c r="F2818" i="14"/>
  <c r="F2610" i="14"/>
  <c r="H3201" i="14" a="1"/>
  <c r="F2714" i="14"/>
  <c r="G24" i="14"/>
  <c r="G3026" i="14"/>
  <c r="F409" i="14"/>
  <c r="F4334" i="14"/>
  <c r="H3375" i="14" a="1"/>
  <c r="G1688" i="14"/>
  <c r="H2791" i="14" a="1"/>
  <c r="F4595" i="14"/>
  <c r="G2896" i="14"/>
  <c r="H3723" i="14" a="1"/>
  <c r="H1507" i="14" a="1"/>
  <c r="G2740" i="14"/>
  <c r="H5034" i="14" a="1"/>
  <c r="F23" i="14"/>
  <c r="F2974" i="14"/>
  <c r="H23" i="14" a="1"/>
  <c r="H2869" i="14" a="1"/>
  <c r="G788" i="14"/>
  <c r="F2520" i="14"/>
  <c r="H1597" i="14" a="1"/>
  <c r="H3810" i="14" a="1"/>
  <c r="F473" i="14"/>
  <c r="F3725" i="14"/>
  <c r="G3811" i="14"/>
  <c r="H2817" i="14" a="1"/>
  <c r="G2662" i="14"/>
  <c r="G278" i="14"/>
  <c r="F2766" i="14"/>
  <c r="H877" i="14" a="1"/>
  <c r="H2661" i="14" a="1"/>
  <c r="H1867" i="14" a="1"/>
  <c r="G150" i="14"/>
  <c r="H4245" i="14" a="1"/>
  <c r="G1418" i="14"/>
  <c r="G3000" i="14"/>
  <c r="G3077" i="14"/>
  <c r="F4073" i="14"/>
  <c r="G2974" i="14"/>
  <c r="H787" i="14" a="1"/>
  <c r="G3724" i="14"/>
  <c r="F2896" i="14"/>
  <c r="G1778" i="14"/>
  <c r="G3025" i="14"/>
  <c r="H2947" i="14" a="1"/>
  <c r="H3897" i="14" a="1"/>
  <c r="H2921" i="14" a="1"/>
  <c r="F4682" i="14"/>
  <c r="G3289" i="14"/>
  <c r="H405" i="14" a="1"/>
  <c r="H1147" i="14" a="1"/>
  <c r="H3462" i="14" a="1"/>
  <c r="H2713" i="14" a="1"/>
  <c r="F2740" i="14"/>
  <c r="F3986" i="14"/>
  <c r="F3025" i="14"/>
  <c r="H3288" i="14" a="1"/>
  <c r="G1238" i="14"/>
  <c r="G3985" i="14"/>
  <c r="H1417" i="14" a="1"/>
  <c r="F89" i="14"/>
  <c r="F153" i="14"/>
  <c r="H2739" i="14" a="1"/>
  <c r="F4247" i="14"/>
  <c r="H469" i="14" a="1"/>
  <c r="H3636" i="14" a="1"/>
  <c r="H4419" i="14" a="1"/>
  <c r="H149" i="14" a="1"/>
  <c r="G3376" i="14"/>
  <c r="H3050" i="14" a="1"/>
  <c r="H85" i="14" a="1"/>
  <c r="G1958" i="14"/>
  <c r="H2687" i="14" a="1"/>
  <c r="F3377" i="14"/>
  <c r="H4158" i="14" a="1"/>
  <c r="G4769" i="14"/>
  <c r="G698" i="14"/>
  <c r="G608" i="14"/>
  <c r="F3026" i="14"/>
  <c r="F3000" i="14"/>
  <c r="G2948" i="14"/>
  <c r="H2047" i="14" a="1"/>
  <c r="G2228" i="14"/>
  <c r="G86" i="14"/>
  <c r="G1058" i="14"/>
  <c r="F2792" i="14"/>
  <c r="G3051" i="14"/>
  <c r="H1777" i="14" l="1"/>
  <c r="H2687" i="14"/>
  <c r="H2998" i="14"/>
  <c r="H4946" i="14"/>
  <c r="H877" i="14"/>
  <c r="H1957" i="14"/>
  <c r="H787" i="14"/>
  <c r="H2791" i="14"/>
  <c r="H4681" i="14"/>
  <c r="H607" i="14"/>
  <c r="H1417" i="14"/>
  <c r="H2895" i="14"/>
  <c r="H2843" i="14"/>
  <c r="H2817" i="14"/>
  <c r="H4245" i="14"/>
  <c r="H2947" i="14"/>
  <c r="H1597" i="14"/>
  <c r="H1687" i="14"/>
  <c r="H1507" i="14"/>
  <c r="H23" i="14"/>
  <c r="H213" i="14"/>
  <c r="H3984" i="14"/>
  <c r="H3810" i="14"/>
  <c r="H3636" i="14"/>
  <c r="H4158" i="14"/>
  <c r="H3024" i="14"/>
  <c r="H2227" i="14"/>
  <c r="H3723" i="14"/>
  <c r="H967" i="14"/>
  <c r="H277" i="14"/>
  <c r="H534" i="14"/>
  <c r="H2609" i="14"/>
  <c r="H697" i="14"/>
  <c r="H1327" i="14"/>
  <c r="H3050" i="14"/>
  <c r="H3375" i="14"/>
  <c r="H3462" i="14"/>
  <c r="H3288" i="14"/>
  <c r="H4071" i="14"/>
  <c r="H2869" i="14"/>
  <c r="H3549" i="14"/>
  <c r="H1057" i="14"/>
  <c r="H469" i="14"/>
  <c r="H3201" i="14"/>
  <c r="H2921" i="14"/>
  <c r="H1147" i="14"/>
  <c r="H5034" i="14"/>
  <c r="H2137" i="14"/>
  <c r="H2713" i="14"/>
  <c r="H4332" i="14"/>
  <c r="H1867" i="14"/>
  <c r="H341" i="14"/>
  <c r="H149" i="14"/>
  <c r="H3897" i="14"/>
  <c r="H405" i="14"/>
  <c r="H2973" i="14"/>
  <c r="H2765" i="14"/>
  <c r="H1237" i="14"/>
  <c r="H2635" i="14"/>
  <c r="H2661" i="14"/>
  <c r="H2739" i="14"/>
  <c r="H4419" i="14"/>
  <c r="H85" i="14"/>
  <c r="H2047" i="14"/>
  <c r="H2999" i="14"/>
  <c r="C536" i="14"/>
  <c r="B283" i="14"/>
  <c r="B3028" i="14"/>
  <c r="C408" i="14"/>
  <c r="B2976" i="14"/>
  <c r="C3552" i="14"/>
  <c r="B2522" i="14"/>
  <c r="C3726" i="14"/>
  <c r="C88" i="14"/>
  <c r="C152" i="14"/>
  <c r="B91" i="14"/>
  <c r="B155" i="14"/>
  <c r="C2500" i="14"/>
  <c r="B3553" i="14"/>
  <c r="C3105" i="14"/>
  <c r="C3028" i="14"/>
  <c r="C2976" i="14"/>
  <c r="B2872" i="14"/>
  <c r="C1600" i="14"/>
  <c r="C970" i="14"/>
  <c r="C2898" i="14"/>
  <c r="C3813" i="14"/>
  <c r="C2140" i="14"/>
  <c r="B4684" i="14"/>
  <c r="B3901" i="14"/>
  <c r="C2612" i="14"/>
  <c r="C2638" i="14"/>
  <c r="C2820" i="14"/>
  <c r="B3814" i="14"/>
  <c r="C1960" i="14"/>
  <c r="B2794" i="14"/>
  <c r="B219" i="14"/>
  <c r="C3131" i="14"/>
  <c r="C3465" i="14"/>
  <c r="B25" i="14"/>
  <c r="C3378" i="14"/>
  <c r="B609" i="14"/>
  <c r="B2716" i="14"/>
  <c r="C26" i="14"/>
  <c r="B4249" i="14"/>
  <c r="B3466" i="14"/>
  <c r="B347" i="14"/>
  <c r="C2050" i="14"/>
  <c r="C3002" i="14"/>
  <c r="C4509" i="14"/>
  <c r="C4161" i="14"/>
  <c r="C2950" i="14"/>
  <c r="B3079" i="14"/>
  <c r="B2898" i="14"/>
  <c r="C3639" i="14"/>
  <c r="B2742" i="14"/>
  <c r="C2690" i="14"/>
  <c r="B4162" i="14"/>
  <c r="C2768" i="14"/>
  <c r="B3002" i="14"/>
  <c r="B3080" i="14"/>
  <c r="B4510" i="14"/>
  <c r="C2664" i="14"/>
  <c r="B2638" i="14"/>
  <c r="B2612" i="14"/>
  <c r="C1690" i="14"/>
  <c r="C4596" i="14"/>
  <c r="C1330" i="14"/>
  <c r="C1780" i="14"/>
  <c r="C3987" i="14"/>
  <c r="C3291" i="14"/>
  <c r="C3204" i="14"/>
  <c r="B2846" i="14"/>
  <c r="B2690" i="14"/>
  <c r="B4858" i="14"/>
  <c r="C472" i="14"/>
  <c r="C4422" i="14"/>
  <c r="C2872" i="14"/>
  <c r="B3640" i="14"/>
  <c r="B3988" i="14"/>
  <c r="B411" i="14"/>
  <c r="C216" i="14"/>
  <c r="C2410" i="14"/>
  <c r="C2716" i="14"/>
  <c r="B3292" i="14"/>
  <c r="B3205" i="14"/>
  <c r="B2820" i="14"/>
  <c r="B4075" i="14"/>
  <c r="C1060" i="14"/>
  <c r="C2846" i="14"/>
  <c r="B2950" i="14"/>
  <c r="B4771" i="14"/>
  <c r="C4074" i="14"/>
  <c r="B539" i="14"/>
  <c r="C880" i="14"/>
  <c r="B4945" i="14"/>
  <c r="C1240" i="14"/>
  <c r="C2320" i="14"/>
  <c r="B2429" i="14"/>
  <c r="C4248" i="14"/>
  <c r="C3054" i="14"/>
  <c r="C3900" i="14"/>
  <c r="B3158" i="14"/>
  <c r="C2794" i="14"/>
  <c r="B3727" i="14"/>
  <c r="B3078" i="14"/>
  <c r="B4423" i="14"/>
  <c r="B2664" i="14"/>
  <c r="C610" i="14"/>
  <c r="C700" i="14"/>
  <c r="C3080" i="14"/>
  <c r="C4335" i="14"/>
  <c r="C2742" i="14"/>
  <c r="C790" i="14"/>
  <c r="B3379" i="14"/>
  <c r="C3079" i="14"/>
  <c r="B475" i="14"/>
  <c r="C1870" i="14"/>
  <c r="B3054" i="14"/>
  <c r="C1420" i="14"/>
  <c r="C344" i="14"/>
  <c r="C2230" i="14"/>
  <c r="C280" i="14"/>
  <c r="C4683" i="14"/>
  <c r="C2924" i="14"/>
  <c r="B2768" i="14"/>
  <c r="B4597" i="14"/>
  <c r="C4945" i="14"/>
  <c r="C1150" i="14"/>
  <c r="B2924" i="14"/>
  <c r="C1510" i="14"/>
  <c r="B4336" i="14"/>
  <c r="H470" i="14" a="1"/>
  <c r="H2948" i="14" a="1"/>
  <c r="F2689" i="14"/>
  <c r="G2049" i="14"/>
  <c r="H535" i="14" a="1"/>
  <c r="H3202" i="14" a="1"/>
  <c r="H1328" i="14" a="1"/>
  <c r="F346" i="14"/>
  <c r="G1509" i="14"/>
  <c r="G3725" i="14"/>
  <c r="H3550" i="14" a="1"/>
  <c r="G2871" i="14"/>
  <c r="G1239" i="14"/>
  <c r="G2767" i="14"/>
  <c r="F4074" i="14"/>
  <c r="H1058" i="14" a="1"/>
  <c r="G2819" i="14"/>
  <c r="H1868" i="14" a="1"/>
  <c r="F3204" i="14"/>
  <c r="F3726" i="14"/>
  <c r="H4159" i="14" a="1"/>
  <c r="F2871" i="14"/>
  <c r="G2689" i="14"/>
  <c r="H2766" i="14" a="1"/>
  <c r="G969" i="14"/>
  <c r="F3291" i="14"/>
  <c r="G471" i="14"/>
  <c r="H2318" i="14" a="1"/>
  <c r="G87" i="14"/>
  <c r="H788" i="14" a="1"/>
  <c r="F3378" i="14"/>
  <c r="F4422" i="14"/>
  <c r="H3000" i="14" a="1"/>
  <c r="F3052" i="14"/>
  <c r="G25" i="14"/>
  <c r="H2844" i="14" a="1"/>
  <c r="G3290" i="14"/>
  <c r="F90" i="14"/>
  <c r="G1329" i="14"/>
  <c r="H3985" i="14" a="1"/>
  <c r="F2949" i="14"/>
  <c r="G536" i="14"/>
  <c r="H3026" i="14" a="1"/>
  <c r="H150" i="14" a="1"/>
  <c r="G3052" i="14"/>
  <c r="H1778" i="14" a="1"/>
  <c r="H3724" i="14" a="1"/>
  <c r="G3203" i="14"/>
  <c r="G609" i="14"/>
  <c r="F3813" i="14"/>
  <c r="H3051" i="14" a="1"/>
  <c r="F4770" i="14"/>
  <c r="H2870" i="14" a="1"/>
  <c r="G2663" i="14"/>
  <c r="G3053" i="14"/>
  <c r="F4335" i="14"/>
  <c r="H4507" i="14" a="1"/>
  <c r="G4160" i="14"/>
  <c r="G2897" i="14"/>
  <c r="G2741" i="14"/>
  <c r="G2500" i="14"/>
  <c r="H608" i="14" a="1"/>
  <c r="G4857" i="14"/>
  <c r="H2636" i="14" a="1"/>
  <c r="F2897" i="14"/>
  <c r="F2428" i="14"/>
  <c r="H4333" i="14" a="1"/>
  <c r="G4247" i="14"/>
  <c r="G1149" i="14"/>
  <c r="H214" i="14" a="1"/>
  <c r="H1148" i="14" a="1"/>
  <c r="G2229" i="14"/>
  <c r="F410" i="14"/>
  <c r="G1059" i="14"/>
  <c r="F2521" i="14"/>
  <c r="H1238" i="14" a="1"/>
  <c r="G879" i="14"/>
  <c r="G2975" i="14"/>
  <c r="H4420" i="14" a="1"/>
  <c r="F3900" i="14"/>
  <c r="H3077" i="14" a="1"/>
  <c r="F4683" i="14"/>
  <c r="G2949" i="14"/>
  <c r="G3899" i="14"/>
  <c r="H342" i="14" a="1"/>
  <c r="H1688" i="14" a="1"/>
  <c r="G1959" i="14"/>
  <c r="G3551" i="14"/>
  <c r="F3158" i="14"/>
  <c r="H3025" i="14" a="1"/>
  <c r="F2637" i="14"/>
  <c r="F2819" i="14"/>
  <c r="H2922" i="14" a="1"/>
  <c r="G215" i="14"/>
  <c r="F4857" i="14"/>
  <c r="G1419" i="14"/>
  <c r="H3289" i="14" a="1"/>
  <c r="F154" i="14"/>
  <c r="H1508" i="14" a="1"/>
  <c r="G2793" i="14"/>
  <c r="H2688" i="14" a="1"/>
  <c r="G699" i="14"/>
  <c r="F608" i="14"/>
  <c r="H3637" i="14" a="1"/>
  <c r="H1598" i="14" a="1"/>
  <c r="G2637" i="14"/>
  <c r="G3812" i="14"/>
  <c r="F2793" i="14"/>
  <c r="G1779" i="14"/>
  <c r="G343" i="14"/>
  <c r="H24" i="14" a="1"/>
  <c r="H2974" i="14" a="1"/>
  <c r="H4769" i="14" a="1"/>
  <c r="G279" i="14"/>
  <c r="H3376" i="14" a="1"/>
  <c r="H2610" i="14" a="1"/>
  <c r="F3027" i="14"/>
  <c r="G1869" i="14"/>
  <c r="H4246" i="14" a="1"/>
  <c r="F4248" i="14"/>
  <c r="G2139" i="14"/>
  <c r="G3078" i="14"/>
  <c r="H2714" i="14" a="1"/>
  <c r="F3465" i="14"/>
  <c r="H3898" i="14" a="1"/>
  <c r="F282" i="14"/>
  <c r="F2923" i="14"/>
  <c r="G789" i="14"/>
  <c r="H2818" i="14" a="1"/>
  <c r="G3986" i="14"/>
  <c r="F24" i="14"/>
  <c r="F2715" i="14"/>
  <c r="G3377" i="14"/>
  <c r="H2662" i="14" a="1"/>
  <c r="F4509" i="14"/>
  <c r="H3811" i="14" a="1"/>
  <c r="F2845" i="14"/>
  <c r="F3051" i="14"/>
  <c r="H3463" i="14" a="1"/>
  <c r="F2767" i="14"/>
  <c r="G3464" i="14"/>
  <c r="H4072" i="14" a="1"/>
  <c r="F2975" i="14"/>
  <c r="G1689" i="14"/>
  <c r="H968" i="14" a="1"/>
  <c r="H2896" i="14" a="1"/>
  <c r="H406" i="14" a="1"/>
  <c r="F2663" i="14"/>
  <c r="G4334" i="14"/>
  <c r="H86" i="14" a="1"/>
  <c r="G4421" i="14"/>
  <c r="H2740" i="14" a="1"/>
  <c r="G3638" i="14"/>
  <c r="F4161" i="14"/>
  <c r="H2138" i="14" a="1"/>
  <c r="G2715" i="14"/>
  <c r="G4073" i="14"/>
  <c r="G2611" i="14"/>
  <c r="F3552" i="14"/>
  <c r="H2792" i="14" a="1"/>
  <c r="G2923" i="14"/>
  <c r="G1599" i="14"/>
  <c r="H2228" i="14" a="1"/>
  <c r="H1958" i="14" a="1"/>
  <c r="F3987" i="14"/>
  <c r="H278" i="14" a="1"/>
  <c r="F218" i="14"/>
  <c r="F539" i="14"/>
  <c r="H878" i="14" a="1"/>
  <c r="F3053" i="14"/>
  <c r="G3001" i="14"/>
  <c r="G3104" i="14"/>
  <c r="F474" i="14"/>
  <c r="G3027" i="14"/>
  <c r="F2741" i="14"/>
  <c r="G151" i="14"/>
  <c r="G2409" i="14"/>
  <c r="H698" i="14" a="1"/>
  <c r="F4596" i="14"/>
  <c r="H1418" i="14" a="1"/>
  <c r="F3639" i="14"/>
  <c r="F3131" i="14"/>
  <c r="G2845" i="14"/>
  <c r="F3001" i="14"/>
  <c r="G2319" i="14"/>
  <c r="G4595" i="14"/>
  <c r="F2611" i="14"/>
  <c r="G407" i="14"/>
  <c r="G4508" i="14"/>
  <c r="H2048" i="14" a="1"/>
  <c r="H3202" i="14" l="1"/>
  <c r="H2948" i="14"/>
  <c r="H4072" i="14"/>
  <c r="H2048" i="14"/>
  <c r="H3811" i="14"/>
  <c r="H3025" i="14"/>
  <c r="H3376" i="14"/>
  <c r="H878" i="14"/>
  <c r="H4769" i="14"/>
  <c r="H2974" i="14"/>
  <c r="H1958" i="14"/>
  <c r="H24" i="14"/>
  <c r="H2636" i="14"/>
  <c r="H86" i="14"/>
  <c r="H698" i="14"/>
  <c r="H1688" i="14"/>
  <c r="H1598" i="14"/>
  <c r="H3637" i="14"/>
  <c r="H406" i="14"/>
  <c r="H788" i="14"/>
  <c r="H1868" i="14"/>
  <c r="H2662" i="14"/>
  <c r="H1508" i="14"/>
  <c r="H2896" i="14"/>
  <c r="H3289" i="14"/>
  <c r="H278" i="14"/>
  <c r="H3026" i="14"/>
  <c r="H2922" i="14"/>
  <c r="H150" i="14"/>
  <c r="H608" i="14"/>
  <c r="H2792" i="14"/>
  <c r="H3898" i="14"/>
  <c r="H342" i="14"/>
  <c r="H2138" i="14"/>
  <c r="H214" i="14"/>
  <c r="H3077" i="14"/>
  <c r="H1418" i="14"/>
  <c r="H1058" i="14"/>
  <c r="H1238" i="14"/>
  <c r="H2870" i="14"/>
  <c r="H968" i="14"/>
  <c r="H1148" i="14"/>
  <c r="H2766" i="14"/>
  <c r="H3463" i="14"/>
  <c r="H2688" i="14"/>
  <c r="H2610" i="14"/>
  <c r="H2818" i="14"/>
  <c r="H1328" i="14"/>
  <c r="H2714" i="14"/>
  <c r="H4246" i="14"/>
  <c r="H2740" i="14"/>
  <c r="H4333" i="14"/>
  <c r="H2228" i="14"/>
  <c r="H2844" i="14"/>
  <c r="H4507" i="14"/>
  <c r="H3985" i="14"/>
  <c r="H3051" i="14"/>
  <c r="H3724" i="14"/>
  <c r="H1778" i="14"/>
  <c r="H4159" i="14"/>
  <c r="H4420" i="14"/>
  <c r="H2318" i="14"/>
  <c r="H3550" i="14"/>
  <c r="H3000" i="14"/>
  <c r="H535" i="14"/>
  <c r="H470" i="14"/>
  <c r="C1601" i="14"/>
  <c r="C281" i="14"/>
  <c r="B348" i="14"/>
  <c r="B4424" i="14"/>
  <c r="C5033" i="14"/>
  <c r="C4423" i="14"/>
  <c r="B4511" i="14"/>
  <c r="B2977" i="14"/>
  <c r="C2501" i="14"/>
  <c r="B4946" i="14"/>
  <c r="C4075" i="14"/>
  <c r="B4250" i="14"/>
  <c r="B2925" i="14"/>
  <c r="C4597" i="14"/>
  <c r="C3158" i="14"/>
  <c r="C1061" i="14"/>
  <c r="B220" i="14"/>
  <c r="B3467" i="14"/>
  <c r="C3107" i="14"/>
  <c r="B2430" i="14"/>
  <c r="C971" i="14"/>
  <c r="B2847" i="14"/>
  <c r="C2899" i="14"/>
  <c r="B2717" i="14"/>
  <c r="C1781" i="14"/>
  <c r="B3107" i="14"/>
  <c r="C2717" i="14"/>
  <c r="B3106" i="14"/>
  <c r="B284" i="14"/>
  <c r="B4772" i="14"/>
  <c r="C3055" i="14"/>
  <c r="B156" i="14"/>
  <c r="B92" i="14"/>
  <c r="B2523" i="14"/>
  <c r="B3055" i="14"/>
  <c r="B3206" i="14"/>
  <c r="B3293" i="14"/>
  <c r="C3029" i="14"/>
  <c r="C3466" i="14"/>
  <c r="C2847" i="14"/>
  <c r="B2795" i="14"/>
  <c r="C2873" i="14"/>
  <c r="B476" i="14"/>
  <c r="C1871" i="14"/>
  <c r="C1151" i="14"/>
  <c r="B2665" i="14"/>
  <c r="C2141" i="14"/>
  <c r="B2899" i="14"/>
  <c r="C217" i="14"/>
  <c r="B3003" i="14"/>
  <c r="C1241" i="14"/>
  <c r="B540" i="14"/>
  <c r="B3815" i="14"/>
  <c r="C3081" i="14"/>
  <c r="C1331" i="14"/>
  <c r="C4162" i="14"/>
  <c r="C3205" i="14"/>
  <c r="C3292" i="14"/>
  <c r="C2795" i="14"/>
  <c r="C3727" i="14"/>
  <c r="B412" i="14"/>
  <c r="C2613" i="14"/>
  <c r="C2639" i="14"/>
  <c r="C3901" i="14"/>
  <c r="B3641" i="14"/>
  <c r="C153" i="14"/>
  <c r="C89" i="14"/>
  <c r="B4337" i="14"/>
  <c r="C1961" i="14"/>
  <c r="C791" i="14"/>
  <c r="C3988" i="14"/>
  <c r="B2873" i="14"/>
  <c r="B2613" i="14"/>
  <c r="B2639" i="14"/>
  <c r="B2769" i="14"/>
  <c r="C3640" i="14"/>
  <c r="C27" i="14"/>
  <c r="B2821" i="14"/>
  <c r="C2665" i="14"/>
  <c r="C2951" i="14"/>
  <c r="C409" i="14"/>
  <c r="C2769" i="14"/>
  <c r="B2691" i="14"/>
  <c r="C2821" i="14"/>
  <c r="C4336" i="14"/>
  <c r="C2743" i="14"/>
  <c r="B4076" i="14"/>
  <c r="C537" i="14"/>
  <c r="C3379" i="14"/>
  <c r="C2691" i="14"/>
  <c r="C4249" i="14"/>
  <c r="B2743" i="14"/>
  <c r="C3553" i="14"/>
  <c r="C2051" i="14"/>
  <c r="C2925" i="14"/>
  <c r="B4685" i="14"/>
  <c r="C345" i="14"/>
  <c r="B3081" i="14"/>
  <c r="C1691" i="14"/>
  <c r="C3132" i="14"/>
  <c r="C2321" i="14"/>
  <c r="C881" i="14"/>
  <c r="B3105" i="14"/>
  <c r="C2411" i="14"/>
  <c r="B3380" i="14"/>
  <c r="C2231" i="14"/>
  <c r="B2951" i="14"/>
  <c r="C701" i="14"/>
  <c r="C611" i="14"/>
  <c r="C4510" i="14"/>
  <c r="C1421" i="14"/>
  <c r="B3029" i="14"/>
  <c r="C2977" i="14"/>
  <c r="B26" i="14"/>
  <c r="C4771" i="14"/>
  <c r="C1511" i="14"/>
  <c r="C3106" i="14"/>
  <c r="B5033" i="14"/>
  <c r="B4859" i="14"/>
  <c r="B4163" i="14"/>
  <c r="B3728" i="14"/>
  <c r="C4684" i="14"/>
  <c r="B4598" i="14"/>
  <c r="B3554" i="14"/>
  <c r="B610" i="14"/>
  <c r="B3902" i="14"/>
  <c r="B3989" i="14"/>
  <c r="C3003" i="14"/>
  <c r="C3814" i="14"/>
  <c r="C473" i="14"/>
  <c r="H87" i="14" a="1"/>
  <c r="G408" i="14"/>
  <c r="G2501" i="14"/>
  <c r="F3814" i="14"/>
  <c r="F2522" i="14"/>
  <c r="H3638" i="14" a="1"/>
  <c r="H4073" i="14" a="1"/>
  <c r="F25" i="14"/>
  <c r="H2923" i="14" a="1"/>
  <c r="G1060" i="14"/>
  <c r="G3002" i="14"/>
  <c r="F2846" i="14"/>
  <c r="H2229" i="14" a="1"/>
  <c r="G4248" i="14"/>
  <c r="F3553" i="14"/>
  <c r="G3291" i="14"/>
  <c r="G2742" i="14"/>
  <c r="H3464" i="14" a="1"/>
  <c r="H3725" i="14" a="1"/>
  <c r="H407" i="14" a="1"/>
  <c r="H2049" i="14" a="1"/>
  <c r="F3028" i="14"/>
  <c r="G1600" i="14"/>
  <c r="F3002" i="14"/>
  <c r="G1330" i="14"/>
  <c r="H536" i="14" a="1"/>
  <c r="F283" i="14"/>
  <c r="H3290" i="14" a="1"/>
  <c r="G2690" i="14"/>
  <c r="G2846" i="14"/>
  <c r="G3726" i="14"/>
  <c r="G2230" i="14"/>
  <c r="F3727" i="14"/>
  <c r="F4162" i="14"/>
  <c r="F4945" i="14"/>
  <c r="H215" i="14" a="1"/>
  <c r="H2897" i="14" a="1"/>
  <c r="F3466" i="14"/>
  <c r="G1510" i="14"/>
  <c r="G3465" i="14"/>
  <c r="G2716" i="14"/>
  <c r="G2794" i="14"/>
  <c r="H1509" i="14" a="1"/>
  <c r="H3899" i="14" a="1"/>
  <c r="H3551" i="14" a="1"/>
  <c r="F2612" i="14"/>
  <c r="G2898" i="14"/>
  <c r="G4945" i="14"/>
  <c r="H2689" i="14" a="1"/>
  <c r="G4422" i="14"/>
  <c r="H4247" i="14" a="1"/>
  <c r="F411" i="14"/>
  <c r="H3104" i="14" a="1"/>
  <c r="F91" i="14"/>
  <c r="H3001" i="14" a="1"/>
  <c r="G2950" i="14"/>
  <c r="F4423" i="14"/>
  <c r="H1779" i="14" a="1"/>
  <c r="G2050" i="14"/>
  <c r="F3901" i="14"/>
  <c r="G1690" i="14"/>
  <c r="F609" i="14"/>
  <c r="G2976" i="14"/>
  <c r="F3379" i="14"/>
  <c r="F4684" i="14"/>
  <c r="G2410" i="14"/>
  <c r="H2845" i="14" a="1"/>
  <c r="G2664" i="14"/>
  <c r="H2871" i="14" a="1"/>
  <c r="G3900" i="14"/>
  <c r="G472" i="14"/>
  <c r="G2140" i="14"/>
  <c r="H4508" i="14" a="1"/>
  <c r="F3054" i="14"/>
  <c r="H699" i="14" a="1"/>
  <c r="F2768" i="14"/>
  <c r="H2139" i="14" a="1"/>
  <c r="F540" i="14"/>
  <c r="G3105" i="14"/>
  <c r="F3080" i="14"/>
  <c r="H2637" i="14" a="1"/>
  <c r="G4509" i="14"/>
  <c r="G970" i="14"/>
  <c r="F2742" i="14"/>
  <c r="G700" i="14"/>
  <c r="H3986" i="14" a="1"/>
  <c r="H609" i="14" a="1"/>
  <c r="G1240" i="14"/>
  <c r="H2949" i="14" a="1"/>
  <c r="F5033" i="14"/>
  <c r="G5033" i="14"/>
  <c r="G3028" i="14"/>
  <c r="F4075" i="14"/>
  <c r="G3158" i="14"/>
  <c r="F2716" i="14"/>
  <c r="H1329" i="14" a="1"/>
  <c r="F2820" i="14"/>
  <c r="F347" i="14"/>
  <c r="G2872" i="14"/>
  <c r="H2741" i="14" a="1"/>
  <c r="F2898" i="14"/>
  <c r="H4334" i="14" a="1"/>
  <c r="G4683" i="14"/>
  <c r="H789" i="14" a="1"/>
  <c r="F4510" i="14"/>
  <c r="H2819" i="14" a="1"/>
  <c r="H879" i="14" a="1"/>
  <c r="H2975" i="14" a="1"/>
  <c r="F219" i="14"/>
  <c r="G2820" i="14"/>
  <c r="F2690" i="14"/>
  <c r="H2663" i="14" a="1"/>
  <c r="F3988" i="14"/>
  <c r="G2924" i="14"/>
  <c r="F2976" i="14"/>
  <c r="F2794" i="14"/>
  <c r="H3812" i="14" a="1"/>
  <c r="F2664" i="14"/>
  <c r="G1960" i="14"/>
  <c r="H1149" i="14" a="1"/>
  <c r="H4421" i="14" a="1"/>
  <c r="H471" i="14" a="1"/>
  <c r="F3640" i="14"/>
  <c r="H279" i="14" a="1"/>
  <c r="F3205" i="14"/>
  <c r="H4160" i="14" a="1"/>
  <c r="H3377" i="14" a="1"/>
  <c r="H2409" i="14" a="1"/>
  <c r="H3078" i="14" a="1"/>
  <c r="F2950" i="14"/>
  <c r="H3052" i="14" a="1"/>
  <c r="G3079" i="14"/>
  <c r="H2319" i="14" a="1"/>
  <c r="G88" i="14"/>
  <c r="F155" i="14"/>
  <c r="G2320" i="14"/>
  <c r="H3027" i="14" a="1"/>
  <c r="G880" i="14"/>
  <c r="H1059" i="14" a="1"/>
  <c r="H2767" i="14" a="1"/>
  <c r="G4335" i="14"/>
  <c r="G3131" i="14"/>
  <c r="H2793" i="14" a="1"/>
  <c r="F4336" i="14"/>
  <c r="H1959" i="14" a="1"/>
  <c r="G3639" i="14"/>
  <c r="G4161" i="14"/>
  <c r="G1420" i="14"/>
  <c r="G3054" i="14"/>
  <c r="H1689" i="14" a="1"/>
  <c r="H1599" i="14" a="1"/>
  <c r="G280" i="14"/>
  <c r="H343" i="14" a="1"/>
  <c r="F3079" i="14"/>
  <c r="G3552" i="14"/>
  <c r="F2872" i="14"/>
  <c r="F3078" i="14"/>
  <c r="G537" i="14"/>
  <c r="H1419" i="14" a="1"/>
  <c r="G344" i="14"/>
  <c r="G4074" i="14"/>
  <c r="H969" i="14" a="1"/>
  <c r="H2500" i="14" a="1"/>
  <c r="H2611" i="14" a="1"/>
  <c r="H4595" i="14" a="1"/>
  <c r="G2612" i="14"/>
  <c r="F4597" i="14"/>
  <c r="F4858" i="14"/>
  <c r="F4771" i="14"/>
  <c r="G790" i="14"/>
  <c r="F2924" i="14"/>
  <c r="H2715" i="14" a="1"/>
  <c r="G3987" i="14"/>
  <c r="G3813" i="14"/>
  <c r="H151" i="14" a="1"/>
  <c r="G216" i="14"/>
  <c r="G1150" i="14"/>
  <c r="H1869" i="14" a="1"/>
  <c r="H3203" i="14" a="1"/>
  <c r="H1239" i="14" a="1"/>
  <c r="F2429" i="14"/>
  <c r="G610" i="14"/>
  <c r="F475" i="14"/>
  <c r="G26" i="14"/>
  <c r="G152" i="14"/>
  <c r="G3204" i="14"/>
  <c r="G1870" i="14"/>
  <c r="H4857" i="14" a="1"/>
  <c r="G2768" i="14"/>
  <c r="F4249" i="14"/>
  <c r="G3378" i="14"/>
  <c r="G2638" i="14"/>
  <c r="H3053" i="14" a="1"/>
  <c r="G4596" i="14"/>
  <c r="F2638" i="14"/>
  <c r="G3080" i="14"/>
  <c r="H25" i="14" a="1"/>
  <c r="F3292" i="14"/>
  <c r="G1780" i="14"/>
  <c r="H151" i="14" l="1"/>
  <c r="H4595" i="14"/>
  <c r="H3812" i="14"/>
  <c r="H407" i="14"/>
  <c r="H2793" i="14"/>
  <c r="H471" i="14"/>
  <c r="H2139" i="14"/>
  <c r="H789" i="14"/>
  <c r="H3638" i="14"/>
  <c r="H536" i="14"/>
  <c r="H2975" i="14"/>
  <c r="H3052" i="14"/>
  <c r="H2500" i="14"/>
  <c r="H1869" i="14"/>
  <c r="H2923" i="14"/>
  <c r="H1329" i="14"/>
  <c r="H3377" i="14"/>
  <c r="H2319" i="14"/>
  <c r="H2611" i="14"/>
  <c r="H279" i="14"/>
  <c r="H1689" i="14"/>
  <c r="H2819" i="14"/>
  <c r="H2409" i="14"/>
  <c r="H1059" i="14"/>
  <c r="H1149" i="14"/>
  <c r="H2871" i="14"/>
  <c r="H343" i="14"/>
  <c r="H2689" i="14"/>
  <c r="H3986" i="14"/>
  <c r="H969" i="14"/>
  <c r="H4421" i="14"/>
  <c r="H699" i="14"/>
  <c r="H3899" i="14"/>
  <c r="H87" i="14"/>
  <c r="H2949" i="14"/>
  <c r="H2715" i="14"/>
  <c r="H3464" i="14"/>
  <c r="H1959" i="14"/>
  <c r="H3551" i="14"/>
  <c r="H4073" i="14"/>
  <c r="H215" i="14"/>
  <c r="H4160" i="14"/>
  <c r="H2049" i="14"/>
  <c r="H2741" i="14"/>
  <c r="H25" i="14"/>
  <c r="H2637" i="14"/>
  <c r="H2897" i="14"/>
  <c r="H3053" i="14"/>
  <c r="H1419" i="14"/>
  <c r="H4247" i="14"/>
  <c r="H2845" i="14"/>
  <c r="H1599" i="14"/>
  <c r="H4857" i="14"/>
  <c r="H2229" i="14"/>
  <c r="H3290" i="14"/>
  <c r="H3104" i="14"/>
  <c r="H3027" i="14"/>
  <c r="H1509" i="14"/>
  <c r="H1779" i="14"/>
  <c r="H609" i="14"/>
  <c r="H3203" i="14"/>
  <c r="H3078" i="14"/>
  <c r="H2767" i="14"/>
  <c r="H2663" i="14"/>
  <c r="H4508" i="14"/>
  <c r="H4334" i="14"/>
  <c r="H1239" i="14"/>
  <c r="H3725" i="14"/>
  <c r="H879" i="14"/>
  <c r="H3001" i="14"/>
  <c r="C3030" i="14"/>
  <c r="B4251" i="14"/>
  <c r="C1782" i="14"/>
  <c r="C3206" i="14"/>
  <c r="C3293" i="14"/>
  <c r="C282" i="14"/>
  <c r="B3381" i="14"/>
  <c r="B611" i="14"/>
  <c r="C3133" i="14"/>
  <c r="C612" i="14"/>
  <c r="C702" i="14"/>
  <c r="C2502" i="14"/>
  <c r="C3728" i="14"/>
  <c r="B4425" i="14"/>
  <c r="C2666" i="14"/>
  <c r="C2822" i="14"/>
  <c r="C3108" i="14"/>
  <c r="B2692" i="14"/>
  <c r="C2900" i="14"/>
  <c r="C1872" i="14"/>
  <c r="C1062" i="14"/>
  <c r="B3642" i="14"/>
  <c r="C1602" i="14"/>
  <c r="B3056" i="14"/>
  <c r="C792" i="14"/>
  <c r="C3159" i="14"/>
  <c r="B4773" i="14"/>
  <c r="B2770" i="14"/>
  <c r="C2848" i="14"/>
  <c r="C2978" i="14"/>
  <c r="C4076" i="14"/>
  <c r="C154" i="14"/>
  <c r="C90" i="14"/>
  <c r="C2614" i="14"/>
  <c r="C2640" i="14"/>
  <c r="C3380" i="14"/>
  <c r="B3030" i="14"/>
  <c r="C3056" i="14"/>
  <c r="B349" i="14"/>
  <c r="B285" i="14"/>
  <c r="B2952" i="14"/>
  <c r="C1692" i="14"/>
  <c r="B2796" i="14"/>
  <c r="B157" i="14"/>
  <c r="B93" i="14"/>
  <c r="B4164" i="14"/>
  <c r="B2718" i="14"/>
  <c r="B3004" i="14"/>
  <c r="C2796" i="14"/>
  <c r="B2666" i="14"/>
  <c r="C882" i="14"/>
  <c r="B477" i="14"/>
  <c r="C1962" i="14"/>
  <c r="C3082" i="14"/>
  <c r="C4163" i="14"/>
  <c r="B4599" i="14"/>
  <c r="C538" i="14"/>
  <c r="C4772" i="14"/>
  <c r="B27" i="14"/>
  <c r="C2322" i="14"/>
  <c r="C972" i="14"/>
  <c r="B3108" i="14"/>
  <c r="C2142" i="14"/>
  <c r="C2718" i="14"/>
  <c r="C2770" i="14"/>
  <c r="B2848" i="14"/>
  <c r="B3729" i="14"/>
  <c r="C3815" i="14"/>
  <c r="C4250" i="14"/>
  <c r="B2926" i="14"/>
  <c r="C2874" i="14"/>
  <c r="B3082" i="14"/>
  <c r="C2744" i="14"/>
  <c r="C2926" i="14"/>
  <c r="C3134" i="14"/>
  <c r="B413" i="14"/>
  <c r="C2692" i="14"/>
  <c r="C1152" i="14"/>
  <c r="B4686" i="14"/>
  <c r="C4859" i="14"/>
  <c r="B2978" i="14"/>
  <c r="C2952" i="14"/>
  <c r="C1242" i="14"/>
  <c r="B3207" i="14"/>
  <c r="B3294" i="14"/>
  <c r="B3133" i="14"/>
  <c r="B2431" i="14"/>
  <c r="B3468" i="14"/>
  <c r="B2614" i="14"/>
  <c r="B2640" i="14"/>
  <c r="C218" i="14"/>
  <c r="B3903" i="14"/>
  <c r="B4512" i="14"/>
  <c r="B4947" i="14"/>
  <c r="C1512" i="14"/>
  <c r="B3132" i="14"/>
  <c r="C4337" i="14"/>
  <c r="B2822" i="14"/>
  <c r="B221" i="14"/>
  <c r="B2744" i="14"/>
  <c r="B4338" i="14"/>
  <c r="B4077" i="14"/>
  <c r="B3990" i="14"/>
  <c r="C4598" i="14"/>
  <c r="C410" i="14"/>
  <c r="C3467" i="14"/>
  <c r="C4424" i="14"/>
  <c r="C474" i="14"/>
  <c r="C28" i="14"/>
  <c r="C2052" i="14"/>
  <c r="C3989" i="14"/>
  <c r="C1422" i="14"/>
  <c r="B4860" i="14"/>
  <c r="B3555" i="14"/>
  <c r="C4511" i="14"/>
  <c r="C346" i="14"/>
  <c r="C3902" i="14"/>
  <c r="B3816" i="14"/>
  <c r="C3004" i="14"/>
  <c r="C2412" i="14"/>
  <c r="C3641" i="14"/>
  <c r="B2900" i="14"/>
  <c r="C1332" i="14"/>
  <c r="C2232" i="14"/>
  <c r="B541" i="14"/>
  <c r="C3554" i="14"/>
  <c r="B2524" i="14"/>
  <c r="B3134" i="14"/>
  <c r="B2874" i="14"/>
  <c r="C4685" i="14"/>
  <c r="B5034" i="14"/>
  <c r="H4074" i="14" a="1"/>
  <c r="G3553" i="14"/>
  <c r="H1780" i="14" a="1"/>
  <c r="F2639" i="14"/>
  <c r="G2769" i="14"/>
  <c r="H1510" i="14" a="1"/>
  <c r="H1240" i="14" a="1"/>
  <c r="F2977" i="14"/>
  <c r="F2925" i="14"/>
  <c r="G473" i="14"/>
  <c r="H408" i="14" a="1"/>
  <c r="F3055" i="14"/>
  <c r="H4161" i="14" a="1"/>
  <c r="G1151" i="14"/>
  <c r="F5034" i="14"/>
  <c r="H2638" i="14" a="1"/>
  <c r="G3988" i="14"/>
  <c r="H152" i="14" a="1"/>
  <c r="H3378" i="14" a="1"/>
  <c r="H26" i="14" a="1"/>
  <c r="F2795" i="14"/>
  <c r="F2665" i="14"/>
  <c r="H2320" i="14" a="1"/>
  <c r="F156" i="14"/>
  <c r="G2795" i="14"/>
  <c r="H5033" i="14" a="1"/>
  <c r="G2141" i="14"/>
  <c r="G2925" i="14"/>
  <c r="F2717" i="14"/>
  <c r="F220" i="14"/>
  <c r="G881" i="14"/>
  <c r="G2951" i="14"/>
  <c r="G409" i="14"/>
  <c r="F26" i="14"/>
  <c r="G2502" i="14"/>
  <c r="G2847" i="14"/>
  <c r="H3079" i="14" a="1"/>
  <c r="G1871" i="14"/>
  <c r="H970" i="14" a="1"/>
  <c r="F2743" i="14"/>
  <c r="H2768" i="14" a="1"/>
  <c r="H4683" i="14" a="1"/>
  <c r="H3813" i="14" a="1"/>
  <c r="G3640" i="14"/>
  <c r="H2872" i="14" a="1"/>
  <c r="F2523" i="14"/>
  <c r="F610" i="14"/>
  <c r="F3467" i="14"/>
  <c r="H2950" i="14" a="1"/>
  <c r="H472" i="14" a="1"/>
  <c r="F412" i="14"/>
  <c r="G217" i="14"/>
  <c r="H344" i="14" a="1"/>
  <c r="F4772" i="14"/>
  <c r="H3291" i="14" a="1"/>
  <c r="G3159" i="14"/>
  <c r="F3106" i="14"/>
  <c r="F3293" i="14"/>
  <c r="F3554" i="14"/>
  <c r="G3466" i="14"/>
  <c r="F3029" i="14"/>
  <c r="H2501" i="14" a="1"/>
  <c r="H3028" i="14" a="1"/>
  <c r="F476" i="14"/>
  <c r="H1960" i="14" a="1"/>
  <c r="G3901" i="14"/>
  <c r="F2821" i="14"/>
  <c r="H3080" i="14" a="1"/>
  <c r="H3158" i="14" a="1"/>
  <c r="G1511" i="14"/>
  <c r="G4423" i="14"/>
  <c r="F3989" i="14"/>
  <c r="G1061" i="14"/>
  <c r="G2321" i="14"/>
  <c r="H2716" i="14" a="1"/>
  <c r="G2613" i="14"/>
  <c r="G2899" i="14"/>
  <c r="H4422" i="14" a="1"/>
  <c r="G1331" i="14"/>
  <c r="H700" i="14" a="1"/>
  <c r="H3465" i="14" a="1"/>
  <c r="H610" i="14" a="1"/>
  <c r="F4076" i="14"/>
  <c r="G4510" i="14"/>
  <c r="H2924" i="14" a="1"/>
  <c r="F3728" i="14"/>
  <c r="G3132" i="14"/>
  <c r="F3003" i="14"/>
  <c r="G1241" i="14"/>
  <c r="H3131" i="14" a="1"/>
  <c r="G3292" i="14"/>
  <c r="G3205" i="14"/>
  <c r="G701" i="14"/>
  <c r="H2664" i="14" a="1"/>
  <c r="G2231" i="14"/>
  <c r="G4249" i="14"/>
  <c r="G4075" i="14"/>
  <c r="H2794" i="14" a="1"/>
  <c r="G538" i="14"/>
  <c r="G4162" i="14"/>
  <c r="F3081" i="14"/>
  <c r="F2691" i="14"/>
  <c r="G4597" i="14"/>
  <c r="G2743" i="14"/>
  <c r="G1691" i="14"/>
  <c r="F4337" i="14"/>
  <c r="F3107" i="14"/>
  <c r="H1420" i="14" a="1"/>
  <c r="F348" i="14"/>
  <c r="H3726" i="14" a="1"/>
  <c r="G345" i="14"/>
  <c r="G2051" i="14"/>
  <c r="F4163" i="14"/>
  <c r="F541" i="14"/>
  <c r="H3002" i="14" a="1"/>
  <c r="H3900" i="14" a="1"/>
  <c r="G3379" i="14"/>
  <c r="H2140" i="14" a="1"/>
  <c r="H3552" i="14" a="1"/>
  <c r="H3639" i="14" a="1"/>
  <c r="H2050" i="14" a="1"/>
  <c r="G1421" i="14"/>
  <c r="G3029" i="14"/>
  <c r="H2846" i="14" a="1"/>
  <c r="G1601" i="14"/>
  <c r="G89" i="14"/>
  <c r="H1060" i="14" a="1"/>
  <c r="F92" i="14"/>
  <c r="F3641" i="14"/>
  <c r="H280" i="14" a="1"/>
  <c r="G3055" i="14"/>
  <c r="G2665" i="14"/>
  <c r="F3380" i="14"/>
  <c r="F3815" i="14"/>
  <c r="G2411" i="14"/>
  <c r="H880" i="14" a="1"/>
  <c r="H2410" i="14" a="1"/>
  <c r="F4511" i="14"/>
  <c r="F2873" i="14"/>
  <c r="G971" i="14"/>
  <c r="F4859" i="14"/>
  <c r="H2690" i="14" a="1"/>
  <c r="G3727" i="14"/>
  <c r="H216" i="14" a="1"/>
  <c r="G791" i="14"/>
  <c r="F284" i="14"/>
  <c r="H2612" i="14" a="1"/>
  <c r="F2899" i="14"/>
  <c r="G4771" i="14"/>
  <c r="F3902" i="14"/>
  <c r="H88" i="14" a="1"/>
  <c r="G2977" i="14"/>
  <c r="G2639" i="14"/>
  <c r="H3987" i="14" a="1"/>
  <c r="F4250" i="14"/>
  <c r="H2898" i="14" a="1"/>
  <c r="H4596" i="14" a="1"/>
  <c r="H1600" i="14" a="1"/>
  <c r="G27" i="14"/>
  <c r="G3107" i="14"/>
  <c r="G2717" i="14"/>
  <c r="F2613" i="14"/>
  <c r="H2742" i="14" a="1"/>
  <c r="F4424" i="14"/>
  <c r="G281" i="14"/>
  <c r="H3204" i="14" a="1"/>
  <c r="H4335" i="14" a="1"/>
  <c r="G3106" i="14"/>
  <c r="F4946" i="14"/>
  <c r="H1330" i="14" a="1"/>
  <c r="F3206" i="14"/>
  <c r="H4248" i="14" a="1"/>
  <c r="G1781" i="14"/>
  <c r="F4685" i="14"/>
  <c r="F2951" i="14"/>
  <c r="G2873" i="14"/>
  <c r="F2769" i="14"/>
  <c r="H2976" i="14" a="1"/>
  <c r="H4509" i="14" a="1"/>
  <c r="G611" i="14"/>
  <c r="F2430" i="14"/>
  <c r="G3081" i="14"/>
  <c r="F3105" i="14"/>
  <c r="H537" i="14" a="1"/>
  <c r="G2691" i="14"/>
  <c r="G153" i="14"/>
  <c r="G3814" i="14"/>
  <c r="H2820" i="14" a="1"/>
  <c r="G4336" i="14"/>
  <c r="H3105" i="14" a="1"/>
  <c r="H3054" i="14" a="1"/>
  <c r="H2230" i="14" a="1"/>
  <c r="F4598" i="14"/>
  <c r="H1150" i="14" a="1"/>
  <c r="G1961" i="14"/>
  <c r="G2821" i="14"/>
  <c r="H1690" i="14" a="1"/>
  <c r="G3003" i="14"/>
  <c r="G4684" i="14"/>
  <c r="F2847" i="14"/>
  <c r="H4945" i="14" a="1"/>
  <c r="H790" i="14" a="1"/>
  <c r="H1870" i="14" a="1"/>
  <c r="H3158" i="14" l="1"/>
  <c r="H3291" i="14"/>
  <c r="H3028" i="14"/>
  <c r="H1690" i="14"/>
  <c r="H3726" i="14"/>
  <c r="H3465" i="14"/>
  <c r="H2820" i="14"/>
  <c r="H2410" i="14"/>
  <c r="H1240" i="14"/>
  <c r="H2230" i="14"/>
  <c r="H4074" i="14"/>
  <c r="H3054" i="14"/>
  <c r="H2768" i="14"/>
  <c r="H408" i="14"/>
  <c r="H2742" i="14"/>
  <c r="H2716" i="14"/>
  <c r="H3552" i="14"/>
  <c r="H3813" i="14"/>
  <c r="H4509" i="14"/>
  <c r="H4683" i="14"/>
  <c r="H2898" i="14"/>
  <c r="H4422" i="14"/>
  <c r="H2664" i="14"/>
  <c r="H4161" i="14"/>
  <c r="H472" i="14"/>
  <c r="H2794" i="14"/>
  <c r="H4248" i="14"/>
  <c r="H4596" i="14"/>
  <c r="H216" i="14"/>
  <c r="H3639" i="14"/>
  <c r="H2690" i="14"/>
  <c r="H4945" i="14"/>
  <c r="H4335" i="14"/>
  <c r="H88" i="14"/>
  <c r="H3204" i="14"/>
  <c r="H2612" i="14"/>
  <c r="H610" i="14"/>
  <c r="H2638" i="14"/>
  <c r="H700" i="14"/>
  <c r="H3002" i="14"/>
  <c r="H3079" i="14"/>
  <c r="H1060" i="14"/>
  <c r="H1600" i="14"/>
  <c r="H2924" i="14"/>
  <c r="H26" i="14"/>
  <c r="H3378" i="14"/>
  <c r="H152" i="14"/>
  <c r="H1420" i="14"/>
  <c r="H3131" i="14"/>
  <c r="H1960" i="14"/>
  <c r="H5033" i="14"/>
  <c r="H2320" i="14"/>
  <c r="H537" i="14"/>
  <c r="H1150" i="14"/>
  <c r="H790" i="14"/>
  <c r="H970" i="14"/>
  <c r="H280" i="14"/>
  <c r="H1780" i="14"/>
  <c r="H2846" i="14"/>
  <c r="H1870" i="14"/>
  <c r="H344" i="14"/>
  <c r="H2050" i="14"/>
  <c r="H3900" i="14"/>
  <c r="H3987" i="14"/>
  <c r="H3080" i="14"/>
  <c r="H2140" i="14"/>
  <c r="H2501" i="14"/>
  <c r="H2976" i="14"/>
  <c r="H3105" i="14"/>
  <c r="H2872" i="14"/>
  <c r="H1330" i="14"/>
  <c r="H880" i="14"/>
  <c r="H1510" i="14"/>
  <c r="H2950" i="14"/>
  <c r="C4077" i="14"/>
  <c r="B4078" i="14"/>
  <c r="B286" i="14"/>
  <c r="C1603" i="14"/>
  <c r="B3160" i="14"/>
  <c r="C1243" i="14"/>
  <c r="C2953" i="14"/>
  <c r="C3109" i="14"/>
  <c r="B2693" i="14"/>
  <c r="B2979" i="14"/>
  <c r="B3083" i="14"/>
  <c r="C1963" i="14"/>
  <c r="B612" i="14"/>
  <c r="C3555" i="14"/>
  <c r="B2849" i="14"/>
  <c r="B3057" i="14"/>
  <c r="B2797" i="14"/>
  <c r="C4773" i="14"/>
  <c r="B2927" i="14"/>
  <c r="B3643" i="14"/>
  <c r="C2143" i="14"/>
  <c r="B3382" i="14"/>
  <c r="C2719" i="14"/>
  <c r="C2053" i="14"/>
  <c r="C29" i="14"/>
  <c r="B4600" i="14"/>
  <c r="B2615" i="14"/>
  <c r="B2641" i="14"/>
  <c r="C4947" i="14"/>
  <c r="C3903" i="14"/>
  <c r="C793" i="14"/>
  <c r="C347" i="14"/>
  <c r="C4425" i="14"/>
  <c r="B478" i="14"/>
  <c r="B3109" i="14"/>
  <c r="C2745" i="14"/>
  <c r="C2413" i="14"/>
  <c r="B4687" i="14"/>
  <c r="B542" i="14"/>
  <c r="B3031" i="14"/>
  <c r="B2719" i="14"/>
  <c r="C411" i="14"/>
  <c r="C539" i="14"/>
  <c r="B2771" i="14"/>
  <c r="C1333" i="14"/>
  <c r="B4774" i="14"/>
  <c r="C2901" i="14"/>
  <c r="C2233" i="14"/>
  <c r="B28" i="14"/>
  <c r="C973" i="14"/>
  <c r="B2745" i="14"/>
  <c r="B2823" i="14"/>
  <c r="B414" i="14"/>
  <c r="C2667" i="14"/>
  <c r="C3005" i="14"/>
  <c r="B3730" i="14"/>
  <c r="B4513" i="14"/>
  <c r="C3381" i="14"/>
  <c r="C3057" i="14"/>
  <c r="B3135" i="14"/>
  <c r="C1873" i="14"/>
  <c r="C2771" i="14"/>
  <c r="C2797" i="14"/>
  <c r="C1063" i="14"/>
  <c r="C2849" i="14"/>
  <c r="B3469" i="14"/>
  <c r="C3642" i="14"/>
  <c r="B4165" i="14"/>
  <c r="C3468" i="14"/>
  <c r="B4339" i="14"/>
  <c r="C3729" i="14"/>
  <c r="C475" i="14"/>
  <c r="B4426" i="14"/>
  <c r="B222" i="14"/>
  <c r="B350" i="14"/>
  <c r="C4164" i="14"/>
  <c r="B4861" i="14"/>
  <c r="C1693" i="14"/>
  <c r="C2927" i="14"/>
  <c r="B2901" i="14"/>
  <c r="C3990" i="14"/>
  <c r="B4948" i="14"/>
  <c r="B3556" i="14"/>
  <c r="B3295" i="14"/>
  <c r="B3208" i="14"/>
  <c r="C703" i="14"/>
  <c r="C613" i="14"/>
  <c r="B3161" i="14"/>
  <c r="C2323" i="14"/>
  <c r="C2503" i="14"/>
  <c r="C1513" i="14"/>
  <c r="C4686" i="14"/>
  <c r="B3159" i="14"/>
  <c r="B3991" i="14"/>
  <c r="C3161" i="14"/>
  <c r="B3817" i="14"/>
  <c r="C4251" i="14"/>
  <c r="C1783" i="14"/>
  <c r="C3083" i="14"/>
  <c r="C2615" i="14"/>
  <c r="C2641" i="14"/>
  <c r="C2875" i="14"/>
  <c r="C1153" i="14"/>
  <c r="C3160" i="14"/>
  <c r="C3207" i="14"/>
  <c r="C3294" i="14"/>
  <c r="C3031" i="14"/>
  <c r="C219" i="14"/>
  <c r="B3904" i="14"/>
  <c r="B5035" i="14"/>
  <c r="B2667" i="14"/>
  <c r="B3005" i="14"/>
  <c r="C4338" i="14"/>
  <c r="C2823" i="14"/>
  <c r="B158" i="14"/>
  <c r="B94" i="14"/>
  <c r="C2693" i="14"/>
  <c r="B2525" i="14"/>
  <c r="C1423" i="14"/>
  <c r="C4599" i="14"/>
  <c r="C4512" i="14"/>
  <c r="C283" i="14"/>
  <c r="B2432" i="14"/>
  <c r="C2979" i="14"/>
  <c r="B2953" i="14"/>
  <c r="B2875" i="14"/>
  <c r="C4860" i="14"/>
  <c r="B4252" i="14"/>
  <c r="C155" i="14"/>
  <c r="C91" i="14"/>
  <c r="C883" i="14"/>
  <c r="C3135" i="14"/>
  <c r="C3816" i="14"/>
  <c r="H3029" i="14" a="1"/>
  <c r="G3082" i="14"/>
  <c r="F3903" i="14"/>
  <c r="G2666" i="14"/>
  <c r="H4249" i="14" a="1"/>
  <c r="G4424" i="14"/>
  <c r="F2822" i="14"/>
  <c r="H1421" i="14" a="1"/>
  <c r="G4772" i="14"/>
  <c r="F2874" i="14"/>
  <c r="G1422" i="14"/>
  <c r="H2847" i="14" a="1"/>
  <c r="F3159" i="14"/>
  <c r="G1242" i="14"/>
  <c r="H2795" i="14" a="1"/>
  <c r="G2874" i="14"/>
  <c r="F4164" i="14"/>
  <c r="G539" i="14"/>
  <c r="H4075" i="14" a="1"/>
  <c r="G1692" i="14"/>
  <c r="F2666" i="14"/>
  <c r="H1691" i="14" a="1"/>
  <c r="H538" i="14" a="1"/>
  <c r="G28" i="14"/>
  <c r="G2770" i="14"/>
  <c r="G154" i="14"/>
  <c r="H3901" i="14" a="1"/>
  <c r="G2822" i="14"/>
  <c r="F2744" i="14"/>
  <c r="H153" i="14" a="1"/>
  <c r="H791" i="14" a="1"/>
  <c r="G2926" i="14"/>
  <c r="H345" i="14" a="1"/>
  <c r="H2141" i="14" a="1"/>
  <c r="F3294" i="14"/>
  <c r="F4686" i="14"/>
  <c r="H1511" i="14" a="1"/>
  <c r="H2502" i="14" a="1"/>
  <c r="F4425" i="14"/>
  <c r="G3902" i="14"/>
  <c r="G410" i="14"/>
  <c r="G90" i="14"/>
  <c r="G2232" i="14"/>
  <c r="H3106" i="14" a="1"/>
  <c r="G4685" i="14"/>
  <c r="H701" i="14" a="1"/>
  <c r="F3108" i="14"/>
  <c r="G4598" i="14"/>
  <c r="G3030" i="14"/>
  <c r="H3640" i="14" a="1"/>
  <c r="G3133" i="14"/>
  <c r="H2899" i="14" a="1"/>
  <c r="F542" i="14"/>
  <c r="F2796" i="14"/>
  <c r="H3132" i="14" a="1"/>
  <c r="F3207" i="14"/>
  <c r="H3003" i="14" a="1"/>
  <c r="F221" i="14"/>
  <c r="G3554" i="14"/>
  <c r="G3004" i="14"/>
  <c r="G3815" i="14"/>
  <c r="F2640" i="14"/>
  <c r="F2692" i="14"/>
  <c r="H89" i="14" a="1"/>
  <c r="G3108" i="14"/>
  <c r="H1961" i="14" a="1"/>
  <c r="F2524" i="14"/>
  <c r="H3727" i="14" a="1"/>
  <c r="F2770" i="14"/>
  <c r="H2873" i="14" a="1"/>
  <c r="G1872" i="14"/>
  <c r="H2613" i="14" a="1"/>
  <c r="H3379" i="14" a="1"/>
  <c r="G2503" i="14"/>
  <c r="F4077" i="14"/>
  <c r="F3133" i="14"/>
  <c r="F3161" i="14"/>
  <c r="F3468" i="14"/>
  <c r="H4597" i="14" a="1"/>
  <c r="G3380" i="14"/>
  <c r="H27" i="14" a="1"/>
  <c r="H3292" i="14" a="1"/>
  <c r="F3990" i="14"/>
  <c r="F3381" i="14"/>
  <c r="F4773" i="14"/>
  <c r="G2614" i="14"/>
  <c r="G3467" i="14"/>
  <c r="H1871" i="14" a="1"/>
  <c r="F2431" i="14"/>
  <c r="H4423" i="14" a="1"/>
  <c r="H2769" i="14" a="1"/>
  <c r="H2051" i="14" a="1"/>
  <c r="H611" i="14" a="1"/>
  <c r="G792" i="14"/>
  <c r="F2926" i="14"/>
  <c r="H3553" i="14" a="1"/>
  <c r="F413" i="14"/>
  <c r="H2821" i="14" a="1"/>
  <c r="G2412" i="14"/>
  <c r="H281" i="14" a="1"/>
  <c r="F2900" i="14"/>
  <c r="G612" i="14"/>
  <c r="F93" i="14"/>
  <c r="G3161" i="14"/>
  <c r="G2900" i="14"/>
  <c r="H217" i="14" a="1"/>
  <c r="G2692" i="14"/>
  <c r="H3988" i="14" a="1"/>
  <c r="H1781" i="14" a="1"/>
  <c r="H3159" i="14" a="1"/>
  <c r="H2691" i="14" a="1"/>
  <c r="G2142" i="14"/>
  <c r="G3160" i="14"/>
  <c r="H2925" i="14" a="1"/>
  <c r="G972" i="14"/>
  <c r="G3989" i="14"/>
  <c r="F4599" i="14"/>
  <c r="G4076" i="14"/>
  <c r="G4163" i="14"/>
  <c r="G1602" i="14"/>
  <c r="F4251" i="14"/>
  <c r="F3729" i="14"/>
  <c r="H2743" i="14" a="1"/>
  <c r="H3466" i="14" a="1"/>
  <c r="F3082" i="14"/>
  <c r="H4771" i="14" a="1"/>
  <c r="G1152" i="14"/>
  <c r="G2744" i="14"/>
  <c r="G3134" i="14"/>
  <c r="G1962" i="14"/>
  <c r="H971" i="14" a="1"/>
  <c r="F3030" i="14"/>
  <c r="H2665" i="14" a="1"/>
  <c r="H3814" i="14" a="1"/>
  <c r="H3081" i="14" a="1"/>
  <c r="F3134" i="14"/>
  <c r="F611" i="14"/>
  <c r="H2639" i="14" a="1"/>
  <c r="G3206" i="14"/>
  <c r="F5035" i="14"/>
  <c r="F285" i="14"/>
  <c r="H881" i="14" a="1"/>
  <c r="G3293" i="14"/>
  <c r="G2322" i="14"/>
  <c r="H1061" i="14" a="1"/>
  <c r="H409" i="14" a="1"/>
  <c r="G1332" i="14"/>
  <c r="G1062" i="14"/>
  <c r="G2052" i="14"/>
  <c r="H2951" i="14" a="1"/>
  <c r="F3056" i="14"/>
  <c r="G2848" i="14"/>
  <c r="H1601" i="14" a="1"/>
  <c r="G702" i="14"/>
  <c r="F2978" i="14"/>
  <c r="H3107" i="14" a="1"/>
  <c r="F3555" i="14"/>
  <c r="G2952" i="14"/>
  <c r="G282" i="14"/>
  <c r="H4162" i="14" a="1"/>
  <c r="F4947" i="14"/>
  <c r="F2614" i="14"/>
  <c r="H3055" i="14" a="1"/>
  <c r="F27" i="14"/>
  <c r="F157" i="14"/>
  <c r="G3056" i="14"/>
  <c r="F4512" i="14"/>
  <c r="G1782" i="14"/>
  <c r="H473" i="14" a="1"/>
  <c r="H2977" i="14" a="1"/>
  <c r="F2848" i="14"/>
  <c r="H2717" i="14" a="1"/>
  <c r="H4510" i="14" a="1"/>
  <c r="G2796" i="14"/>
  <c r="G4250" i="14"/>
  <c r="H3205" i="14" a="1"/>
  <c r="G4337" i="14"/>
  <c r="H1151" i="14" a="1"/>
  <c r="H2411" i="14" a="1"/>
  <c r="H2231" i="14" a="1"/>
  <c r="G346" i="14"/>
  <c r="F3642" i="14"/>
  <c r="F349" i="14"/>
  <c r="G1512" i="14"/>
  <c r="G882" i="14"/>
  <c r="G2718" i="14"/>
  <c r="H4336" i="14" a="1"/>
  <c r="H2321" i="14" a="1"/>
  <c r="G3641" i="14"/>
  <c r="F3816" i="14"/>
  <c r="F4860" i="14"/>
  <c r="G4511" i="14"/>
  <c r="F477" i="14"/>
  <c r="G218" i="14"/>
  <c r="F3160" i="14"/>
  <c r="H1331" i="14" a="1"/>
  <c r="H4684" i="14" a="1"/>
  <c r="F3132" i="14"/>
  <c r="G4859" i="14"/>
  <c r="H1241" i="14" a="1"/>
  <c r="F4338" i="14"/>
  <c r="F2952" i="14"/>
  <c r="F3004" i="14"/>
  <c r="G474" i="14"/>
  <c r="G3728" i="14"/>
  <c r="G2640" i="14"/>
  <c r="G2978" i="14"/>
  <c r="F2718" i="14"/>
  <c r="H701" i="14" l="1"/>
  <c r="H473" i="14"/>
  <c r="H1331" i="14"/>
  <c r="H1781" i="14"/>
  <c r="H2502" i="14"/>
  <c r="H2613" i="14"/>
  <c r="H2925" i="14"/>
  <c r="H1871" i="14"/>
  <c r="H538" i="14"/>
  <c r="H3727" i="14"/>
  <c r="H4336" i="14"/>
  <c r="H4162" i="14"/>
  <c r="H2847" i="14"/>
  <c r="H89" i="14"/>
  <c r="H217" i="14"/>
  <c r="H4597" i="14"/>
  <c r="H1061" i="14"/>
  <c r="H153" i="14"/>
  <c r="H1151" i="14"/>
  <c r="H3553" i="14"/>
  <c r="H2769" i="14"/>
  <c r="H3132" i="14"/>
  <c r="H2951" i="14"/>
  <c r="H2873" i="14"/>
  <c r="H4684" i="14"/>
  <c r="H881" i="14"/>
  <c r="H3159" i="14"/>
  <c r="H2795" i="14"/>
  <c r="H3292" i="14"/>
  <c r="H1601" i="14"/>
  <c r="H791" i="14"/>
  <c r="H2717" i="14"/>
  <c r="H2321" i="14"/>
  <c r="H2231" i="14"/>
  <c r="H3055" i="14"/>
  <c r="H2051" i="14"/>
  <c r="H3379" i="14"/>
  <c r="H2141" i="14"/>
  <c r="H4249" i="14"/>
  <c r="H2899" i="14"/>
  <c r="H2411" i="14"/>
  <c r="H345" i="14"/>
  <c r="H3106" i="14"/>
  <c r="H3814" i="14"/>
  <c r="H3205" i="14"/>
  <c r="H1421" i="14"/>
  <c r="H1241" i="14"/>
  <c r="H409" i="14"/>
  <c r="H2691" i="14"/>
  <c r="H2665" i="14"/>
  <c r="H4075" i="14"/>
  <c r="H4771" i="14"/>
  <c r="H3988" i="14"/>
  <c r="H4423" i="14"/>
  <c r="H971" i="14"/>
  <c r="H3901" i="14"/>
  <c r="H3640" i="14"/>
  <c r="H281" i="14"/>
  <c r="H611" i="14"/>
  <c r="H1961" i="14"/>
  <c r="H3107" i="14"/>
  <c r="H27" i="14"/>
  <c r="H2743" i="14"/>
  <c r="H3029" i="14"/>
  <c r="H2821" i="14"/>
  <c r="H2977" i="14"/>
  <c r="H3081" i="14"/>
  <c r="H3003" i="14"/>
  <c r="H1511" i="14"/>
  <c r="H3466" i="14"/>
  <c r="H4510" i="14"/>
  <c r="H2639" i="14"/>
  <c r="H1691" i="14"/>
  <c r="C540" i="14"/>
  <c r="B4253" i="14"/>
  <c r="B3162" i="14"/>
  <c r="B3058" i="14"/>
  <c r="C412" i="14"/>
  <c r="C3208" i="14"/>
  <c r="C3295" i="14"/>
  <c r="B2928" i="14"/>
  <c r="C4252" i="14"/>
  <c r="C2324" i="14"/>
  <c r="B2798" i="14"/>
  <c r="B2642" i="14"/>
  <c r="B2616" i="14"/>
  <c r="B2876" i="14"/>
  <c r="C4426" i="14"/>
  <c r="C2668" i="14"/>
  <c r="B3644" i="14"/>
  <c r="C3817" i="14"/>
  <c r="B2772" i="14"/>
  <c r="B3136" i="14"/>
  <c r="B3110" i="14"/>
  <c r="C2642" i="14"/>
  <c r="C2616" i="14"/>
  <c r="B3905" i="14"/>
  <c r="C4774" i="14"/>
  <c r="C2954" i="14"/>
  <c r="B415" i="14"/>
  <c r="C3730" i="14"/>
  <c r="C2824" i="14"/>
  <c r="C2928" i="14"/>
  <c r="C884" i="14"/>
  <c r="C284" i="14"/>
  <c r="C1604" i="14"/>
  <c r="B3557" i="14"/>
  <c r="C3469" i="14"/>
  <c r="B4862" i="14"/>
  <c r="C476" i="14"/>
  <c r="C4687" i="14"/>
  <c r="C3110" i="14"/>
  <c r="C704" i="14"/>
  <c r="C614" i="14"/>
  <c r="B5036" i="14"/>
  <c r="C1784" i="14"/>
  <c r="B287" i="14"/>
  <c r="B4427" i="14"/>
  <c r="C2798" i="14"/>
  <c r="C2694" i="14"/>
  <c r="B4775" i="14"/>
  <c r="B543" i="14"/>
  <c r="C30" i="14"/>
  <c r="C2234" i="14"/>
  <c r="C4948" i="14"/>
  <c r="B2433" i="14"/>
  <c r="C1514" i="14"/>
  <c r="C3382" i="14"/>
  <c r="C2902" i="14"/>
  <c r="C4339" i="14"/>
  <c r="C2772" i="14"/>
  <c r="B2668" i="14"/>
  <c r="B3084" i="14"/>
  <c r="C348" i="14"/>
  <c r="B3383" i="14"/>
  <c r="B3818" i="14"/>
  <c r="C2980" i="14"/>
  <c r="C3991" i="14"/>
  <c r="B4688" i="14"/>
  <c r="C4861" i="14"/>
  <c r="B3006" i="14"/>
  <c r="C3162" i="14"/>
  <c r="B4340" i="14"/>
  <c r="C3006" i="14"/>
  <c r="B95" i="14"/>
  <c r="B159" i="14"/>
  <c r="C3058" i="14"/>
  <c r="C1244" i="14"/>
  <c r="C1874" i="14"/>
  <c r="C794" i="14"/>
  <c r="B4514" i="14"/>
  <c r="C3556" i="14"/>
  <c r="C2876" i="14"/>
  <c r="B29" i="14"/>
  <c r="C1424" i="14"/>
  <c r="C2504" i="14"/>
  <c r="C4513" i="14"/>
  <c r="B2824" i="14"/>
  <c r="B613" i="14"/>
  <c r="B2720" i="14"/>
  <c r="C4165" i="14"/>
  <c r="C974" i="14"/>
  <c r="B3296" i="14"/>
  <c r="B3209" i="14"/>
  <c r="B3731" i="14"/>
  <c r="C2054" i="14"/>
  <c r="C3136" i="14"/>
  <c r="C2850" i="14"/>
  <c r="C2414" i="14"/>
  <c r="C1154" i="14"/>
  <c r="B2850" i="14"/>
  <c r="C156" i="14"/>
  <c r="C92" i="14"/>
  <c r="B2902" i="14"/>
  <c r="B2526" i="14"/>
  <c r="B3992" i="14"/>
  <c r="C3084" i="14"/>
  <c r="C2746" i="14"/>
  <c r="B2954" i="14"/>
  <c r="B351" i="14"/>
  <c r="C220" i="14"/>
  <c r="B2980" i="14"/>
  <c r="C4600" i="14"/>
  <c r="C2720" i="14"/>
  <c r="C3032" i="14"/>
  <c r="C3643" i="14"/>
  <c r="C1334" i="14"/>
  <c r="B4166" i="14"/>
  <c r="C3904" i="14"/>
  <c r="B3032" i="14"/>
  <c r="C1064" i="14"/>
  <c r="B3470" i="14"/>
  <c r="B223" i="14"/>
  <c r="B2694" i="14"/>
  <c r="B4079" i="14"/>
  <c r="C4078" i="14"/>
  <c r="B4949" i="14"/>
  <c r="C1964" i="14"/>
  <c r="B4601" i="14"/>
  <c r="B479" i="14"/>
  <c r="B2746" i="14"/>
  <c r="C5035" i="14"/>
  <c r="C2144" i="14"/>
  <c r="C1694" i="14"/>
  <c r="H2952" i="14" a="1"/>
  <c r="F4252" i="14"/>
  <c r="H2900" i="14" a="1"/>
  <c r="H702" i="14" a="1"/>
  <c r="G2143" i="14"/>
  <c r="F543" i="14"/>
  <c r="H2614" i="14" a="1"/>
  <c r="F4426" i="14"/>
  <c r="G2504" i="14"/>
  <c r="H792" i="14" a="1"/>
  <c r="F2693" i="14"/>
  <c r="G155" i="14"/>
  <c r="F3469" i="14"/>
  <c r="H2848" i="14" a="1"/>
  <c r="G3468" i="14"/>
  <c r="G3381" i="14"/>
  <c r="H474" i="14" a="1"/>
  <c r="F4339" i="14"/>
  <c r="F3295" i="14"/>
  <c r="H1962" i="14" a="1"/>
  <c r="H1152" i="14" a="1"/>
  <c r="G2233" i="14"/>
  <c r="G4077" i="14"/>
  <c r="G3990" i="14"/>
  <c r="G2413" i="14"/>
  <c r="F2641" i="14"/>
  <c r="F4513" i="14"/>
  <c r="H2692" i="14" a="1"/>
  <c r="G2979" i="14"/>
  <c r="G3031" i="14"/>
  <c r="F2927" i="14"/>
  <c r="G1063" i="14"/>
  <c r="H1062" i="14" a="1"/>
  <c r="G219" i="14"/>
  <c r="G883" i="14"/>
  <c r="G3816" i="14"/>
  <c r="H2874" i="14" a="1"/>
  <c r="H2744" i="14" a="1"/>
  <c r="G5035" i="14"/>
  <c r="F3162" i="14"/>
  <c r="G3729" i="14"/>
  <c r="F3817" i="14"/>
  <c r="G283" i="14"/>
  <c r="G4251" i="14"/>
  <c r="F28" i="14"/>
  <c r="H4250" i="14" a="1"/>
  <c r="G4164" i="14"/>
  <c r="F2797" i="14"/>
  <c r="G2875" i="14"/>
  <c r="H4424" i="14" a="1"/>
  <c r="F414" i="14"/>
  <c r="G2953" i="14"/>
  <c r="H2926" i="14" a="1"/>
  <c r="G3294" i="14"/>
  <c r="H4598" i="14" a="1"/>
  <c r="G2901" i="14"/>
  <c r="H972" i="14" a="1"/>
  <c r="H1872" i="14" a="1"/>
  <c r="F3031" i="14"/>
  <c r="G347" i="14"/>
  <c r="H2796" i="14" a="1"/>
  <c r="H90" i="14" a="1"/>
  <c r="G973" i="14"/>
  <c r="G3135" i="14"/>
  <c r="H3030" i="14" a="1"/>
  <c r="G4512" i="14"/>
  <c r="H4685" i="14" a="1"/>
  <c r="H4511" i="14" a="1"/>
  <c r="F94" i="14"/>
  <c r="F4600" i="14"/>
  <c r="H3161" i="14" a="1"/>
  <c r="G4338" i="14"/>
  <c r="H28" i="14" a="1"/>
  <c r="H1422" i="14" a="1"/>
  <c r="G3555" i="14"/>
  <c r="F3904" i="14"/>
  <c r="H4163" i="14" a="1"/>
  <c r="G2053" i="14"/>
  <c r="G2615" i="14"/>
  <c r="G29" i="14"/>
  <c r="H154" i="14" a="1"/>
  <c r="F2745" i="14"/>
  <c r="H4772" i="14" a="1"/>
  <c r="H2412" i="14" a="1"/>
  <c r="G1873" i="14"/>
  <c r="F2953" i="14"/>
  <c r="H3554" i="14" a="1"/>
  <c r="G475" i="14"/>
  <c r="F158" i="14"/>
  <c r="G2797" i="14"/>
  <c r="G540" i="14"/>
  <c r="H1332" i="14" a="1"/>
  <c r="G4947" i="14"/>
  <c r="H3815" i="14" a="1"/>
  <c r="G2719" i="14"/>
  <c r="F3991" i="14"/>
  <c r="H3056" i="14" a="1"/>
  <c r="F4078" i="14"/>
  <c r="G3005" i="14"/>
  <c r="G2693" i="14"/>
  <c r="H282" i="14" a="1"/>
  <c r="F350" i="14"/>
  <c r="F2771" i="14"/>
  <c r="G2849" i="14"/>
  <c r="G3642" i="14"/>
  <c r="F5036" i="14"/>
  <c r="F2719" i="14"/>
  <c r="H2770" i="14" a="1"/>
  <c r="G1693" i="14"/>
  <c r="H346" i="14" a="1"/>
  <c r="G4686" i="14"/>
  <c r="F3643" i="14"/>
  <c r="H1242" i="14" a="1"/>
  <c r="F286" i="14"/>
  <c r="H3728" i="14" a="1"/>
  <c r="G3207" i="14"/>
  <c r="H3082" i="14" a="1"/>
  <c r="G2927" i="14"/>
  <c r="H1782" i="14" a="1"/>
  <c r="H410" i="14" a="1"/>
  <c r="G3083" i="14"/>
  <c r="H2640" i="14" a="1"/>
  <c r="G1513" i="14"/>
  <c r="H3206" i="14" a="1"/>
  <c r="G2667" i="14"/>
  <c r="G1423" i="14"/>
  <c r="H2718" i="14" a="1"/>
  <c r="G3109" i="14"/>
  <c r="F2667" i="14"/>
  <c r="F2615" i="14"/>
  <c r="G3162" i="14"/>
  <c r="F2432" i="14"/>
  <c r="H539" i="14" a="1"/>
  <c r="H218" i="14" a="1"/>
  <c r="H1692" i="14" a="1"/>
  <c r="F3083" i="14"/>
  <c r="F2875" i="14"/>
  <c r="H4337" i="14" a="1"/>
  <c r="G1153" i="14"/>
  <c r="H3989" i="14" a="1"/>
  <c r="F2849" i="14"/>
  <c r="H4859" i="14" a="1"/>
  <c r="G2771" i="14"/>
  <c r="G4425" i="14"/>
  <c r="F478" i="14"/>
  <c r="G703" i="14"/>
  <c r="G3903" i="14"/>
  <c r="G1603" i="14"/>
  <c r="G4599" i="14"/>
  <c r="F4948" i="14"/>
  <c r="H1602" i="14" a="1"/>
  <c r="F3208" i="14"/>
  <c r="F3556" i="14"/>
  <c r="H3293" i="14" a="1"/>
  <c r="F2525" i="14"/>
  <c r="H3467" i="14" a="1"/>
  <c r="F4774" i="14"/>
  <c r="F3730" i="14"/>
  <c r="H882" i="14" a="1"/>
  <c r="F612" i="14"/>
  <c r="H3160" i="14" a="1"/>
  <c r="H2503" i="14" a="1"/>
  <c r="G4773" i="14"/>
  <c r="G4860" i="14"/>
  <c r="F2823" i="14"/>
  <c r="F222" i="14"/>
  <c r="H3133" i="14" a="1"/>
  <c r="G1963" i="14"/>
  <c r="H3902" i="14" a="1"/>
  <c r="H2978" i="14" a="1"/>
  <c r="G2745" i="14"/>
  <c r="F2979" i="14"/>
  <c r="H3380" i="14" a="1"/>
  <c r="F3057" i="14"/>
  <c r="G3057" i="14"/>
  <c r="H2822" i="14" a="1"/>
  <c r="G2823" i="14"/>
  <c r="H1512" i="14" a="1"/>
  <c r="H4076" i="14" a="1"/>
  <c r="G2323" i="14"/>
  <c r="G1243" i="14"/>
  <c r="G793" i="14"/>
  <c r="H2666" i="14" a="1"/>
  <c r="F4861" i="14"/>
  <c r="G91" i="14"/>
  <c r="H2322" i="14" a="1"/>
  <c r="F4165" i="14"/>
  <c r="F3109" i="14"/>
  <c r="F3135" i="14"/>
  <c r="F4687" i="14"/>
  <c r="G1333" i="14"/>
  <c r="H3108" i="14" a="1"/>
  <c r="G1783" i="14"/>
  <c r="G613" i="14"/>
  <c r="G411" i="14"/>
  <c r="H3134" i="14" a="1"/>
  <c r="H3004" i="14" a="1"/>
  <c r="H2142" i="14" a="1"/>
  <c r="H612" i="14" a="1"/>
  <c r="F3005" i="14"/>
  <c r="G2641" i="14"/>
  <c r="H2052" i="14" a="1"/>
  <c r="H2232" i="14" a="1"/>
  <c r="H3641" i="14" a="1"/>
  <c r="F3382" i="14"/>
  <c r="F2901" i="14"/>
  <c r="H3641" i="14" l="1"/>
  <c r="H1062" i="14"/>
  <c r="H218" i="14"/>
  <c r="H792" i="14"/>
  <c r="H3989" i="14"/>
  <c r="H4250" i="14"/>
  <c r="H3380" i="14"/>
  <c r="H2926" i="14"/>
  <c r="H4511" i="14"/>
  <c r="H3728" i="14"/>
  <c r="H1512" i="14"/>
  <c r="H1602" i="14"/>
  <c r="H972" i="14"/>
  <c r="H346" i="14"/>
  <c r="H2142" i="14"/>
  <c r="H3082" i="14"/>
  <c r="H1692" i="14"/>
  <c r="H3161" i="14"/>
  <c r="H2874" i="14"/>
  <c r="H2052" i="14"/>
  <c r="H2640" i="14"/>
  <c r="H882" i="14"/>
  <c r="H3467" i="14"/>
  <c r="H2770" i="14"/>
  <c r="H4076" i="14"/>
  <c r="H4772" i="14"/>
  <c r="H3902" i="14"/>
  <c r="H4685" i="14"/>
  <c r="H2822" i="14"/>
  <c r="H2412" i="14"/>
  <c r="H154" i="14"/>
  <c r="H282" i="14"/>
  <c r="H2744" i="14"/>
  <c r="H1962" i="14"/>
  <c r="H3815" i="14"/>
  <c r="H539" i="14"/>
  <c r="H2503" i="14"/>
  <c r="H702" i="14"/>
  <c r="H2952" i="14"/>
  <c r="H1152" i="14"/>
  <c r="H2978" i="14"/>
  <c r="H1872" i="14"/>
  <c r="H2848" i="14"/>
  <c r="H4424" i="14"/>
  <c r="H3554" i="14"/>
  <c r="H28" i="14"/>
  <c r="H612" i="14"/>
  <c r="H3293" i="14"/>
  <c r="H3056" i="14"/>
  <c r="H2900" i="14"/>
  <c r="H2232" i="14"/>
  <c r="H1242" i="14"/>
  <c r="H2614" i="14"/>
  <c r="H3108" i="14"/>
  <c r="H4337" i="14"/>
  <c r="H3004" i="14"/>
  <c r="H474" i="14"/>
  <c r="H2692" i="14"/>
  <c r="H4859" i="14"/>
  <c r="H3133" i="14"/>
  <c r="H1422" i="14"/>
  <c r="H2666" i="14"/>
  <c r="H4598" i="14"/>
  <c r="H2796" i="14"/>
  <c r="H4163" i="14"/>
  <c r="H3160" i="14"/>
  <c r="H2322" i="14"/>
  <c r="H1332" i="14"/>
  <c r="H3030" i="14"/>
  <c r="H410" i="14"/>
  <c r="H1782" i="14"/>
  <c r="H2718" i="14"/>
  <c r="H3134" i="14"/>
  <c r="H90" i="14"/>
  <c r="H3206" i="14"/>
  <c r="C4253" i="14"/>
  <c r="B96" i="14"/>
  <c r="B160" i="14"/>
  <c r="B3111" i="14"/>
  <c r="C3557" i="14"/>
  <c r="C3296" i="14"/>
  <c r="C3209" i="14"/>
  <c r="C1425" i="14"/>
  <c r="B2877" i="14"/>
  <c r="C1065" i="14"/>
  <c r="B2851" i="14"/>
  <c r="B30" i="14"/>
  <c r="C885" i="14"/>
  <c r="C4427" i="14"/>
  <c r="B4515" i="14"/>
  <c r="C705" i="14"/>
  <c r="C615" i="14"/>
  <c r="C349" i="14"/>
  <c r="C3818" i="14"/>
  <c r="C2695" i="14"/>
  <c r="B2825" i="14"/>
  <c r="C3383" i="14"/>
  <c r="C2235" i="14"/>
  <c r="B4689" i="14"/>
  <c r="B4167" i="14"/>
  <c r="C1155" i="14"/>
  <c r="C4688" i="14"/>
  <c r="B2981" i="14"/>
  <c r="B2527" i="14"/>
  <c r="C1245" i="14"/>
  <c r="C2145" i="14"/>
  <c r="B224" i="14"/>
  <c r="C5036" i="14"/>
  <c r="B4863" i="14"/>
  <c r="C795" i="14"/>
  <c r="B4950" i="14"/>
  <c r="B3993" i="14"/>
  <c r="C4514" i="14"/>
  <c r="C4601" i="14"/>
  <c r="B352" i="14"/>
  <c r="C975" i="14"/>
  <c r="C2643" i="14"/>
  <c r="C2617" i="14"/>
  <c r="C2415" i="14"/>
  <c r="C2903" i="14"/>
  <c r="C3470" i="14"/>
  <c r="C3905" i="14"/>
  <c r="C285" i="14"/>
  <c r="C2505" i="14"/>
  <c r="C4949" i="14"/>
  <c r="C2721" i="14"/>
  <c r="C4775" i="14"/>
  <c r="C4340" i="14"/>
  <c r="B2773" i="14"/>
  <c r="B5037" i="14"/>
  <c r="B288" i="14"/>
  <c r="C3992" i="14"/>
  <c r="C3111" i="14"/>
  <c r="C221" i="14"/>
  <c r="C2877" i="14"/>
  <c r="C3644" i="14"/>
  <c r="C1605" i="14"/>
  <c r="C31" i="14"/>
  <c r="B3645" i="14"/>
  <c r="B2643" i="14"/>
  <c r="B2617" i="14"/>
  <c r="C3731" i="14"/>
  <c r="C2773" i="14"/>
  <c r="B4341" i="14"/>
  <c r="C2055" i="14"/>
  <c r="B2721" i="14"/>
  <c r="B3007" i="14"/>
  <c r="C1875" i="14"/>
  <c r="C3137" i="14"/>
  <c r="B480" i="14"/>
  <c r="C477" i="14"/>
  <c r="B3819" i="14"/>
  <c r="B2747" i="14"/>
  <c r="C1335" i="14"/>
  <c r="C3033" i="14"/>
  <c r="C1785" i="14"/>
  <c r="C4166" i="14"/>
  <c r="B3558" i="14"/>
  <c r="B4254" i="14"/>
  <c r="C2747" i="14"/>
  <c r="B4080" i="14"/>
  <c r="B3297" i="14"/>
  <c r="B3210" i="14"/>
  <c r="B4602" i="14"/>
  <c r="B4428" i="14"/>
  <c r="B4776" i="14"/>
  <c r="B3471" i="14"/>
  <c r="C2799" i="14"/>
  <c r="C2825" i="14"/>
  <c r="C541" i="14"/>
  <c r="C2851" i="14"/>
  <c r="B3137" i="14"/>
  <c r="B3732" i="14"/>
  <c r="B2669" i="14"/>
  <c r="B2955" i="14"/>
  <c r="B3085" i="14"/>
  <c r="B3059" i="14"/>
  <c r="B2929" i="14"/>
  <c r="B3033" i="14"/>
  <c r="C3007" i="14"/>
  <c r="C2929" i="14"/>
  <c r="B2799" i="14"/>
  <c r="C1965" i="14"/>
  <c r="C2669" i="14"/>
  <c r="C3059" i="14"/>
  <c r="C157" i="14"/>
  <c r="C93" i="14"/>
  <c r="B3906" i="14"/>
  <c r="B2695" i="14"/>
  <c r="C2325" i="14"/>
  <c r="C2955" i="14"/>
  <c r="C2981" i="14"/>
  <c r="B2903" i="14"/>
  <c r="B544" i="14"/>
  <c r="B416" i="14"/>
  <c r="C3163" i="14"/>
  <c r="B3384" i="14"/>
  <c r="B614" i="14"/>
  <c r="C1515" i="14"/>
  <c r="C3085" i="14"/>
  <c r="C4079" i="14"/>
  <c r="C413" i="14"/>
  <c r="B2434" i="14"/>
  <c r="C1695" i="14"/>
  <c r="C4862" i="14"/>
  <c r="B3163" i="14"/>
  <c r="H3729" i="14" a="1"/>
  <c r="G2505" i="14"/>
  <c r="G2720" i="14"/>
  <c r="H4077" i="14" a="1"/>
  <c r="F3084" i="14"/>
  <c r="G3136" i="14"/>
  <c r="G2414" i="14"/>
  <c r="G2694" i="14"/>
  <c r="F3383" i="14"/>
  <c r="H540" i="14" a="1"/>
  <c r="F4688" i="14"/>
  <c r="G92" i="14"/>
  <c r="H347" i="14" a="1"/>
  <c r="G3556" i="14"/>
  <c r="G2772" i="14"/>
  <c r="H1423" i="14" a="1"/>
  <c r="F4166" i="14"/>
  <c r="H2719" i="14" a="1"/>
  <c r="H2641" i="14" a="1"/>
  <c r="F2928" i="14"/>
  <c r="G1874" i="14"/>
  <c r="G3163" i="14"/>
  <c r="H3294" i="14" a="1"/>
  <c r="H3207" i="14" a="1"/>
  <c r="G348" i="14"/>
  <c r="G2876" i="14"/>
  <c r="F4079" i="14"/>
  <c r="F3110" i="14"/>
  <c r="F2668" i="14"/>
  <c r="G2850" i="14"/>
  <c r="G3817" i="14"/>
  <c r="H2413" i="14" a="1"/>
  <c r="G156" i="14"/>
  <c r="H91" i="14" a="1"/>
  <c r="F2642" i="14"/>
  <c r="F159" i="14"/>
  <c r="F3058" i="14"/>
  <c r="G704" i="14"/>
  <c r="F2980" i="14"/>
  <c r="H3816" i="14" a="1"/>
  <c r="G3110" i="14"/>
  <c r="H4599" i="14" a="1"/>
  <c r="F3992" i="14"/>
  <c r="G1514" i="14"/>
  <c r="H2693" i="14" a="1"/>
  <c r="G4252" i="14"/>
  <c r="G2902" i="14"/>
  <c r="H3005" i="14" a="1"/>
  <c r="G284" i="14"/>
  <c r="G2928" i="14"/>
  <c r="H2823" i="14" a="1"/>
  <c r="F4601" i="14"/>
  <c r="G3295" i="14"/>
  <c r="H2849" i="14" a="1"/>
  <c r="F3032" i="14"/>
  <c r="H4947" i="14" a="1"/>
  <c r="H3162" i="14" a="1"/>
  <c r="F2954" i="14"/>
  <c r="F223" i="14"/>
  <c r="H2745" i="14" a="1"/>
  <c r="G1784" i="14"/>
  <c r="F4862" i="14"/>
  <c r="G3382" i="14"/>
  <c r="H3468" i="14" a="1"/>
  <c r="H2053" i="14" a="1"/>
  <c r="G2668" i="14"/>
  <c r="F3296" i="14"/>
  <c r="F3905" i="14"/>
  <c r="H1333" i="14" a="1"/>
  <c r="G2616" i="14"/>
  <c r="G4078" i="14"/>
  <c r="F351" i="14"/>
  <c r="H1873" i="14" a="1"/>
  <c r="H2143" i="14" a="1"/>
  <c r="F5037" i="14"/>
  <c r="G3084" i="14"/>
  <c r="G3469" i="14"/>
  <c r="G4948" i="14"/>
  <c r="G614" i="14"/>
  <c r="G2642" i="14"/>
  <c r="H2927" i="14" a="1"/>
  <c r="G3730" i="14"/>
  <c r="F4775" i="14"/>
  <c r="H3109" i="14" a="1"/>
  <c r="G1964" i="14"/>
  <c r="F479" i="14"/>
  <c r="H475" i="14" a="1"/>
  <c r="G3991" i="14"/>
  <c r="H1603" i="14" a="1"/>
  <c r="G2234" i="14"/>
  <c r="H4860" i="14" a="1"/>
  <c r="H2667" i="14" a="1"/>
  <c r="F3163" i="14"/>
  <c r="G4165" i="14"/>
  <c r="H2323" i="14" a="1"/>
  <c r="F4340" i="14"/>
  <c r="F2694" i="14"/>
  <c r="G1334" i="14"/>
  <c r="F3470" i="14"/>
  <c r="H1063" i="14" a="1"/>
  <c r="H973" i="14" a="1"/>
  <c r="F415" i="14"/>
  <c r="G2954" i="14"/>
  <c r="H155" i="14" a="1"/>
  <c r="G30" i="14"/>
  <c r="F613" i="14"/>
  <c r="H4425" i="14" a="1"/>
  <c r="F2746" i="14"/>
  <c r="G884" i="14"/>
  <c r="F95" i="14"/>
  <c r="H2953" i="14" a="1"/>
  <c r="F4253" i="14"/>
  <c r="H1783" i="14" a="1"/>
  <c r="G3208" i="14"/>
  <c r="G3643" i="14"/>
  <c r="F2526" i="14"/>
  <c r="H3031" i="14" a="1"/>
  <c r="F2798" i="14"/>
  <c r="G5036" i="14"/>
  <c r="F4949" i="14"/>
  <c r="G1244" i="14"/>
  <c r="G2324" i="14"/>
  <c r="F2616" i="14"/>
  <c r="G1064" i="14"/>
  <c r="H3381" i="14" a="1"/>
  <c r="H2504" i="14" a="1"/>
  <c r="G4513" i="14"/>
  <c r="G3032" i="14"/>
  <c r="F2772" i="14"/>
  <c r="H3990" i="14" a="1"/>
  <c r="H4773" i="14" a="1"/>
  <c r="F3818" i="14"/>
  <c r="G3058" i="14"/>
  <c r="H2797" i="14" a="1"/>
  <c r="G4339" i="14"/>
  <c r="G2144" i="14"/>
  <c r="F3644" i="14"/>
  <c r="F3731" i="14"/>
  <c r="G4861" i="14"/>
  <c r="H1153" i="14" a="1"/>
  <c r="G220" i="14"/>
  <c r="H3083" i="14" a="1"/>
  <c r="H1513" i="14" a="1"/>
  <c r="F4514" i="14"/>
  <c r="F2433" i="14"/>
  <c r="H3555" i="14" a="1"/>
  <c r="F2902" i="14"/>
  <c r="G4687" i="14"/>
  <c r="H703" i="14" a="1"/>
  <c r="F544" i="14"/>
  <c r="G1424" i="14"/>
  <c r="G1154" i="14"/>
  <c r="G4600" i="14"/>
  <c r="H4686" i="14" a="1"/>
  <c r="G1694" i="14"/>
  <c r="G2054" i="14"/>
  <c r="H2875" i="14" a="1"/>
  <c r="G3006" i="14"/>
  <c r="H2615" i="14" a="1"/>
  <c r="H2901" i="14" a="1"/>
  <c r="H2233" i="14" a="1"/>
  <c r="G412" i="14"/>
  <c r="G974" i="14"/>
  <c r="H411" i="14" a="1"/>
  <c r="G476" i="14"/>
  <c r="F2850" i="14"/>
  <c r="H1693" i="14" a="1"/>
  <c r="H3903" i="14" a="1"/>
  <c r="H883" i="14" a="1"/>
  <c r="H4338" i="14" a="1"/>
  <c r="H3135" i="14" a="1"/>
  <c r="H219" i="14" a="1"/>
  <c r="H793" i="14" a="1"/>
  <c r="G2746" i="14"/>
  <c r="F29" i="14"/>
  <c r="H613" i="14" a="1"/>
  <c r="G2798" i="14"/>
  <c r="H1243" i="14" a="1"/>
  <c r="G794" i="14"/>
  <c r="G4774" i="14"/>
  <c r="F4427" i="14"/>
  <c r="F2824" i="14"/>
  <c r="F287" i="14"/>
  <c r="G2980" i="14"/>
  <c r="F3006" i="14"/>
  <c r="F3136" i="14"/>
  <c r="G541" i="14"/>
  <c r="G2824" i="14"/>
  <c r="G1604" i="14"/>
  <c r="H4164" i="14" a="1"/>
  <c r="H1963" i="14" a="1"/>
  <c r="H29" i="14" a="1"/>
  <c r="H2979" i="14" a="1"/>
  <c r="H5035" i="14" a="1"/>
  <c r="H4512" i="14" a="1"/>
  <c r="F2720" i="14"/>
  <c r="G3904" i="14"/>
  <c r="F3557" i="14"/>
  <c r="H283" i="14" a="1"/>
  <c r="H4251" i="14" a="1"/>
  <c r="H2771" i="14" a="1"/>
  <c r="F3209" i="14"/>
  <c r="H3057" i="14" a="1"/>
  <c r="F2876" i="14"/>
  <c r="G4426" i="14"/>
  <c r="H3642" i="14" a="1"/>
  <c r="H793" i="14" l="1"/>
  <c r="H3083" i="14"/>
  <c r="H219" i="14"/>
  <c r="H2143" i="14"/>
  <c r="H1783" i="14"/>
  <c r="H3109" i="14"/>
  <c r="H29" i="14"/>
  <c r="H2504" i="14"/>
  <c r="H4512" i="14"/>
  <c r="H2719" i="14"/>
  <c r="H4164" i="14"/>
  <c r="H703" i="14"/>
  <c r="H3555" i="14"/>
  <c r="H3031" i="14"/>
  <c r="H3005" i="14"/>
  <c r="H883" i="14"/>
  <c r="H411" i="14"/>
  <c r="H3468" i="14"/>
  <c r="H5035" i="14"/>
  <c r="H1333" i="14"/>
  <c r="H4425" i="14"/>
  <c r="H2901" i="14"/>
  <c r="H2615" i="14"/>
  <c r="H1963" i="14"/>
  <c r="H1243" i="14"/>
  <c r="H1063" i="14"/>
  <c r="H4686" i="14"/>
  <c r="H2745" i="14"/>
  <c r="H3162" i="14"/>
  <c r="H1513" i="14"/>
  <c r="H1153" i="14"/>
  <c r="H2875" i="14"/>
  <c r="H4773" i="14"/>
  <c r="H4947" i="14"/>
  <c r="H2953" i="14"/>
  <c r="H2641" i="14"/>
  <c r="H1423" i="14"/>
  <c r="H155" i="14"/>
  <c r="H973" i="14"/>
  <c r="H2797" i="14"/>
  <c r="H2667" i="14"/>
  <c r="H4860" i="14"/>
  <c r="H2053" i="14"/>
  <c r="H613" i="14"/>
  <c r="H3816" i="14"/>
  <c r="H2849" i="14"/>
  <c r="H2823" i="14"/>
  <c r="H2323" i="14"/>
  <c r="H4599" i="14"/>
  <c r="H3294" i="14"/>
  <c r="H3207" i="14"/>
  <c r="H283" i="14"/>
  <c r="H3135" i="14"/>
  <c r="H347" i="14"/>
  <c r="H540" i="14"/>
  <c r="H2693" i="14"/>
  <c r="H3729" i="14"/>
  <c r="H3381" i="14"/>
  <c r="H3990" i="14"/>
  <c r="H1693" i="14"/>
  <c r="H2979" i="14"/>
  <c r="H1603" i="14"/>
  <c r="H3057" i="14"/>
  <c r="H4077" i="14"/>
  <c r="H475" i="14"/>
  <c r="H2927" i="14"/>
  <c r="H4251" i="14"/>
  <c r="H2233" i="14"/>
  <c r="H1873" i="14"/>
  <c r="H91" i="14"/>
  <c r="H4338" i="14"/>
  <c r="H2771" i="14"/>
  <c r="H2413" i="14"/>
  <c r="H3642" i="14"/>
  <c r="H3903" i="14"/>
  <c r="B3086" i="14"/>
  <c r="B4516" i="14"/>
  <c r="B417" i="14"/>
  <c r="B289" i="14"/>
  <c r="B4777" i="14"/>
  <c r="C1516" i="14"/>
  <c r="B225" i="14"/>
  <c r="B3472" i="14"/>
  <c r="C2774" i="14"/>
  <c r="C1966" i="14"/>
  <c r="B3008" i="14"/>
  <c r="B97" i="14"/>
  <c r="B161" i="14"/>
  <c r="C2696" i="14"/>
  <c r="B3164" i="14"/>
  <c r="C4863" i="14"/>
  <c r="C886" i="14"/>
  <c r="C3906" i="14"/>
  <c r="C3112" i="14"/>
  <c r="C542" i="14"/>
  <c r="B2435" i="14"/>
  <c r="B481" i="14"/>
  <c r="C2056" i="14"/>
  <c r="B3060" i="14"/>
  <c r="B2982" i="14"/>
  <c r="C2878" i="14"/>
  <c r="B3559" i="14"/>
  <c r="B3298" i="14"/>
  <c r="B3211" i="14"/>
  <c r="B545" i="14"/>
  <c r="B2748" i="14"/>
  <c r="C32" i="14"/>
  <c r="C286" i="14"/>
  <c r="C2748" i="14"/>
  <c r="C1336" i="14"/>
  <c r="C1246" i="14"/>
  <c r="C3471" i="14"/>
  <c r="C4515" i="14"/>
  <c r="C1156" i="14"/>
  <c r="C4341" i="14"/>
  <c r="C3086" i="14"/>
  <c r="B3820" i="14"/>
  <c r="B2670" i="14"/>
  <c r="C796" i="14"/>
  <c r="C4167" i="14"/>
  <c r="B2930" i="14"/>
  <c r="B5038" i="14"/>
  <c r="B3034" i="14"/>
  <c r="C2904" i="14"/>
  <c r="C350" i="14"/>
  <c r="C4689" i="14"/>
  <c r="C2326" i="14"/>
  <c r="B2878" i="14"/>
  <c r="C2800" i="14"/>
  <c r="C3993" i="14"/>
  <c r="C2644" i="14"/>
  <c r="C1606" i="14"/>
  <c r="C2982" i="14"/>
  <c r="C158" i="14"/>
  <c r="C94" i="14"/>
  <c r="B2956" i="14"/>
  <c r="B4864" i="14"/>
  <c r="B3385" i="14"/>
  <c r="B3646" i="14"/>
  <c r="C1426" i="14"/>
  <c r="C3819" i="14"/>
  <c r="C3138" i="14"/>
  <c r="C5037" i="14"/>
  <c r="C3558" i="14"/>
  <c r="C2670" i="14"/>
  <c r="C4602" i="14"/>
  <c r="B4951" i="14"/>
  <c r="C414" i="14"/>
  <c r="C976" i="14"/>
  <c r="C3645" i="14"/>
  <c r="C3732" i="14"/>
  <c r="C4428" i="14"/>
  <c r="C2930" i="14"/>
  <c r="C4950" i="14"/>
  <c r="C3034" i="14"/>
  <c r="B3112" i="14"/>
  <c r="C1876" i="14"/>
  <c r="C2722" i="14"/>
  <c r="C2826" i="14"/>
  <c r="B4342" i="14"/>
  <c r="C3060" i="14"/>
  <c r="B3733" i="14"/>
  <c r="C3008" i="14"/>
  <c r="B3994" i="14"/>
  <c r="B615" i="14"/>
  <c r="C2416" i="14"/>
  <c r="C222" i="14"/>
  <c r="B2826" i="14"/>
  <c r="B2696" i="14"/>
  <c r="B4168" i="14"/>
  <c r="C4254" i="14"/>
  <c r="C3164" i="14"/>
  <c r="C2146" i="14"/>
  <c r="B2644" i="14"/>
  <c r="C1696" i="14"/>
  <c r="B2800" i="14"/>
  <c r="B2852" i="14"/>
  <c r="C616" i="14"/>
  <c r="C706" i="14"/>
  <c r="B2904" i="14"/>
  <c r="B3138" i="14"/>
  <c r="C4080" i="14"/>
  <c r="B31" i="14"/>
  <c r="B2722" i="14"/>
  <c r="B3907" i="14"/>
  <c r="B4429" i="14"/>
  <c r="B353" i="14"/>
  <c r="C1786" i="14"/>
  <c r="B4690" i="14"/>
  <c r="C2506" i="14"/>
  <c r="C2236" i="14"/>
  <c r="B4603" i="14"/>
  <c r="C3297" i="14"/>
  <c r="C3210" i="14"/>
  <c r="C4776" i="14"/>
  <c r="C3384" i="14"/>
  <c r="C478" i="14"/>
  <c r="C2956" i="14"/>
  <c r="C2852" i="14"/>
  <c r="B2774" i="14"/>
  <c r="C1066" i="14"/>
  <c r="B4081" i="14"/>
  <c r="B2528" i="14"/>
  <c r="B4255" i="14"/>
  <c r="H3904" i="14" a="1"/>
  <c r="F96" i="14"/>
  <c r="H2876" i="14" a="1"/>
  <c r="G4775" i="14"/>
  <c r="H884" i="14" a="1"/>
  <c r="H2954" i="14" a="1"/>
  <c r="G2325" i="14"/>
  <c r="G2145" i="14"/>
  <c r="G1065" i="14"/>
  <c r="H4339" i="14" a="1"/>
  <c r="H2720" i="14" a="1"/>
  <c r="F288" i="14"/>
  <c r="F3471" i="14"/>
  <c r="F614" i="14"/>
  <c r="G3111" i="14"/>
  <c r="F4341" i="14"/>
  <c r="H614" i="14" a="1"/>
  <c r="H3817" i="14" a="1"/>
  <c r="H3058" i="14" a="1"/>
  <c r="H541" i="14" a="1"/>
  <c r="G615" i="14"/>
  <c r="F5038" i="14"/>
  <c r="H1154" i="14" a="1"/>
  <c r="G3164" i="14"/>
  <c r="G221" i="14"/>
  <c r="F2929" i="14"/>
  <c r="G885" i="14"/>
  <c r="F2695" i="14"/>
  <c r="F480" i="14"/>
  <c r="G975" i="14"/>
  <c r="H4165" i="14" a="1"/>
  <c r="H348" i="14" a="1"/>
  <c r="G1875" i="14"/>
  <c r="G2055" i="14"/>
  <c r="G3383" i="14"/>
  <c r="F352" i="14"/>
  <c r="H1514" i="14" a="1"/>
  <c r="F4080" i="14"/>
  <c r="F3384" i="14"/>
  <c r="F545" i="14"/>
  <c r="H2616" i="14" a="1"/>
  <c r="G542" i="14"/>
  <c r="H3032" i="14" a="1"/>
  <c r="F3164" i="14"/>
  <c r="H2414" i="14" a="1"/>
  <c r="G1335" i="14"/>
  <c r="H220" i="14" a="1"/>
  <c r="G4253" i="14"/>
  <c r="G4949" i="14"/>
  <c r="H974" i="14" a="1"/>
  <c r="G2415" i="14"/>
  <c r="H3382" i="14" a="1"/>
  <c r="F3007" i="14"/>
  <c r="G4166" i="14"/>
  <c r="H4252" i="14" a="1"/>
  <c r="G2773" i="14"/>
  <c r="F2877" i="14"/>
  <c r="G4079" i="14"/>
  <c r="H4426" i="14" a="1"/>
  <c r="F3085" i="14"/>
  <c r="H2144" i="14" a="1"/>
  <c r="H3006" i="14" a="1"/>
  <c r="F3558" i="14"/>
  <c r="F3059" i="14"/>
  <c r="H4600" i="14" a="1"/>
  <c r="G3992" i="14"/>
  <c r="G2721" i="14"/>
  <c r="G3296" i="14"/>
  <c r="F4950" i="14"/>
  <c r="H2054" i="14" a="1"/>
  <c r="H92" i="14" a="1"/>
  <c r="H2980" i="14" a="1"/>
  <c r="F2434" i="14"/>
  <c r="H2668" i="14" a="1"/>
  <c r="F2617" i="14"/>
  <c r="H3556" i="14" a="1"/>
  <c r="G2617" i="14"/>
  <c r="G1245" i="14"/>
  <c r="F4428" i="14"/>
  <c r="H476" i="14" a="1"/>
  <c r="H2772" i="14" a="1"/>
  <c r="G477" i="14"/>
  <c r="H1694" i="14" a="1"/>
  <c r="G3209" i="14"/>
  <c r="F416" i="14"/>
  <c r="F2773" i="14"/>
  <c r="H2928" i="14" a="1"/>
  <c r="G349" i="14"/>
  <c r="G3085" i="14"/>
  <c r="G2643" i="14"/>
  <c r="H1784" i="14" a="1"/>
  <c r="G413" i="14"/>
  <c r="F4689" i="14"/>
  <c r="F160" i="14"/>
  <c r="H3136" i="14" a="1"/>
  <c r="G2235" i="14"/>
  <c r="H4513" i="14" a="1"/>
  <c r="G3644" i="14"/>
  <c r="H4078" i="14" a="1"/>
  <c r="F4602" i="14"/>
  <c r="H4948" i="14" a="1"/>
  <c r="G1695" i="14"/>
  <c r="F4776" i="14"/>
  <c r="H3643" i="14" a="1"/>
  <c r="G2825" i="14"/>
  <c r="H2234" i="14" a="1"/>
  <c r="F4515" i="14"/>
  <c r="G2903" i="14"/>
  <c r="H2505" i="14" a="1"/>
  <c r="G795" i="14"/>
  <c r="G2747" i="14"/>
  <c r="F3906" i="14"/>
  <c r="F2643" i="14"/>
  <c r="F2721" i="14"/>
  <c r="F2981" i="14"/>
  <c r="F3297" i="14"/>
  <c r="H412" i="14" a="1"/>
  <c r="F2747" i="14"/>
  <c r="F2669" i="14"/>
  <c r="G3818" i="14"/>
  <c r="H2746" i="14" a="1"/>
  <c r="F2851" i="14"/>
  <c r="H704" i="14" a="1"/>
  <c r="F2527" i="14"/>
  <c r="G1155" i="14"/>
  <c r="H3730" i="14" a="1"/>
  <c r="F3993" i="14"/>
  <c r="H3208" i="14" a="1"/>
  <c r="F4863" i="14"/>
  <c r="G2981" i="14"/>
  <c r="H30" i="14" a="1"/>
  <c r="G4601" i="14"/>
  <c r="F30" i="14"/>
  <c r="F3732" i="14"/>
  <c r="H4687" i="14" a="1"/>
  <c r="G3059" i="14"/>
  <c r="F2799" i="14"/>
  <c r="G2799" i="14"/>
  <c r="H2798" i="14" a="1"/>
  <c r="H156" i="14" a="1"/>
  <c r="H1334" i="14" a="1"/>
  <c r="G4514" i="14"/>
  <c r="H2902" i="14" a="1"/>
  <c r="G2851" i="14"/>
  <c r="G2506" i="14"/>
  <c r="H1874" i="14" a="1"/>
  <c r="G2955" i="14"/>
  <c r="H3084" i="14" a="1"/>
  <c r="G3905" i="14"/>
  <c r="G1425" i="14"/>
  <c r="H3163" i="14" a="1"/>
  <c r="F4254" i="14"/>
  <c r="H1064" i="14" a="1"/>
  <c r="G3731" i="14"/>
  <c r="H2824" i="14" a="1"/>
  <c r="G1605" i="14"/>
  <c r="H2694" i="14" a="1"/>
  <c r="F2903" i="14"/>
  <c r="F3111" i="14"/>
  <c r="F2955" i="14"/>
  <c r="H794" i="14" a="1"/>
  <c r="F224" i="14"/>
  <c r="G157" i="14"/>
  <c r="H2642" i="14" a="1"/>
  <c r="H1604" i="14" a="1"/>
  <c r="G31" i="14"/>
  <c r="G705" i="14"/>
  <c r="H284" i="14" a="1"/>
  <c r="G5037" i="14"/>
  <c r="G1965" i="14"/>
  <c r="H4774" i="14" a="1"/>
  <c r="H2324" i="14" a="1"/>
  <c r="G3033" i="14"/>
  <c r="F3210" i="14"/>
  <c r="H3110" i="14" a="1"/>
  <c r="F3033" i="14"/>
  <c r="G3007" i="14"/>
  <c r="G93" i="14"/>
  <c r="H2850" i="14" a="1"/>
  <c r="G3470" i="14"/>
  <c r="H3469" i="14" a="1"/>
  <c r="H3295" i="14" a="1"/>
  <c r="H1244" i="14" a="1"/>
  <c r="G4688" i="14"/>
  <c r="H5036" i="14" a="1"/>
  <c r="F3819" i="14"/>
  <c r="H3991" i="14" a="1"/>
  <c r="G2929" i="14"/>
  <c r="H4861" i="14" a="1"/>
  <c r="G4862" i="14"/>
  <c r="G1515" i="14"/>
  <c r="F3645" i="14"/>
  <c r="G4427" i="14"/>
  <c r="F3137" i="14"/>
  <c r="F4167" i="14"/>
  <c r="G3137" i="14"/>
  <c r="G2695" i="14"/>
  <c r="G4340" i="14"/>
  <c r="F2825" i="14"/>
  <c r="G1785" i="14"/>
  <c r="G2877" i="14"/>
  <c r="G2669" i="14"/>
  <c r="H1424" i="14" a="1"/>
  <c r="G285" i="14"/>
  <c r="G3557" i="14"/>
  <c r="H1964" i="14" a="1"/>
  <c r="H3006" i="14" l="1"/>
  <c r="H3817" i="14"/>
  <c r="H3556" i="14"/>
  <c r="H2720" i="14"/>
  <c r="H2954" i="14"/>
  <c r="H1334" i="14"/>
  <c r="H1604" i="14"/>
  <c r="H1244" i="14"/>
  <c r="H541" i="14"/>
  <c r="H3991" i="14"/>
  <c r="H4774" i="14"/>
  <c r="H4687" i="14"/>
  <c r="H5036" i="14"/>
  <c r="H4078" i="14"/>
  <c r="H2798" i="14"/>
  <c r="H348" i="14"/>
  <c r="H3136" i="14"/>
  <c r="H3295" i="14"/>
  <c r="H1874" i="14"/>
  <c r="H3469" i="14"/>
  <c r="H2928" i="14"/>
  <c r="H2414" i="14"/>
  <c r="H4513" i="14"/>
  <c r="H476" i="14"/>
  <c r="H30" i="14"/>
  <c r="H4165" i="14"/>
  <c r="H3163" i="14"/>
  <c r="H1694" i="14"/>
  <c r="H3110" i="14"/>
  <c r="H2876" i="14"/>
  <c r="H3032" i="14"/>
  <c r="H794" i="14"/>
  <c r="H3730" i="14"/>
  <c r="H2324" i="14"/>
  <c r="H1064" i="14"/>
  <c r="H412" i="14"/>
  <c r="H284" i="14"/>
  <c r="H1424" i="14"/>
  <c r="H3904" i="14"/>
  <c r="H2668" i="14"/>
  <c r="H2746" i="14"/>
  <c r="H2824" i="14"/>
  <c r="H3643" i="14"/>
  <c r="H3084" i="14"/>
  <c r="H2902" i="14"/>
  <c r="H3208" i="14"/>
  <c r="H1784" i="14"/>
  <c r="H4600" i="14"/>
  <c r="H2694" i="14"/>
  <c r="H92" i="14"/>
  <c r="H2505" i="14"/>
  <c r="H2234" i="14"/>
  <c r="H4948" i="14"/>
  <c r="H704" i="14"/>
  <c r="H2850" i="14"/>
  <c r="H1154" i="14"/>
  <c r="H2980" i="14"/>
  <c r="H4426" i="14"/>
  <c r="H974" i="14"/>
  <c r="H3382" i="14"/>
  <c r="H220" i="14"/>
  <c r="H4861" i="14"/>
  <c r="H2772" i="14"/>
  <c r="H1964" i="14"/>
  <c r="H2144" i="14"/>
  <c r="H614" i="14"/>
  <c r="H4252" i="14"/>
  <c r="H4339" i="14"/>
  <c r="H884" i="14"/>
  <c r="H156" i="14"/>
  <c r="H2642" i="14"/>
  <c r="H1514" i="14"/>
  <c r="H3058" i="14"/>
  <c r="H2616" i="14"/>
  <c r="H2054" i="14"/>
  <c r="B3061" i="14"/>
  <c r="C4429" i="14"/>
  <c r="C33" i="14"/>
  <c r="C3139" i="14"/>
  <c r="B4343" i="14"/>
  <c r="C3472" i="14"/>
  <c r="C3061" i="14"/>
  <c r="C3820" i="14"/>
  <c r="C2147" i="14"/>
  <c r="C2057" i="14"/>
  <c r="C2749" i="14"/>
  <c r="B2697" i="14"/>
  <c r="B3473" i="14"/>
  <c r="C3994" i="14"/>
  <c r="B4517" i="14"/>
  <c r="C4168" i="14"/>
  <c r="B2723" i="14"/>
  <c r="B680" i="14"/>
  <c r="B616" i="14"/>
  <c r="C2957" i="14"/>
  <c r="B4952" i="14"/>
  <c r="C3009" i="14"/>
  <c r="C415" i="14"/>
  <c r="B2957" i="14"/>
  <c r="B3908" i="14"/>
  <c r="C2775" i="14"/>
  <c r="B2436" i="14"/>
  <c r="C977" i="14"/>
  <c r="B226" i="14"/>
  <c r="C2801" i="14"/>
  <c r="B4865" i="14"/>
  <c r="B3113" i="14"/>
  <c r="C1877" i="14"/>
  <c r="B2749" i="14"/>
  <c r="C3035" i="14"/>
  <c r="C2853" i="14"/>
  <c r="B3647" i="14"/>
  <c r="B418" i="14"/>
  <c r="C1787" i="14"/>
  <c r="C4342" i="14"/>
  <c r="C1247" i="14"/>
  <c r="B2529" i="14"/>
  <c r="C223" i="14"/>
  <c r="B2775" i="14"/>
  <c r="C4690" i="14"/>
  <c r="C2905" i="14"/>
  <c r="C2723" i="14"/>
  <c r="B4169" i="14"/>
  <c r="C2983" i="14"/>
  <c r="C3298" i="14"/>
  <c r="C3211" i="14"/>
  <c r="B3995" i="14"/>
  <c r="B2879" i="14"/>
  <c r="C2237" i="14"/>
  <c r="C3087" i="14"/>
  <c r="C1967" i="14"/>
  <c r="C1067" i="14"/>
  <c r="C2697" i="14"/>
  <c r="C3907" i="14"/>
  <c r="B2905" i="14"/>
  <c r="C2931" i="14"/>
  <c r="C4255" i="14"/>
  <c r="C3559" i="14"/>
  <c r="B3212" i="14"/>
  <c r="B3299" i="14"/>
  <c r="B3009" i="14"/>
  <c r="B162" i="14"/>
  <c r="B98" i="14"/>
  <c r="B354" i="14"/>
  <c r="B2801" i="14"/>
  <c r="C2327" i="14"/>
  <c r="C4081" i="14"/>
  <c r="C1607" i="14"/>
  <c r="C1427" i="14"/>
  <c r="B546" i="14"/>
  <c r="B4604" i="14"/>
  <c r="C2879" i="14"/>
  <c r="C2507" i="14"/>
  <c r="C2827" i="14"/>
  <c r="B4778" i="14"/>
  <c r="C1157" i="14"/>
  <c r="C3385" i="14"/>
  <c r="B3165" i="14"/>
  <c r="B2827" i="14"/>
  <c r="B4082" i="14"/>
  <c r="B3139" i="14"/>
  <c r="C1697" i="14"/>
  <c r="C3113" i="14"/>
  <c r="C351" i="14"/>
  <c r="B3386" i="14"/>
  <c r="B3560" i="14"/>
  <c r="B4691" i="14"/>
  <c r="B5039" i="14"/>
  <c r="B3734" i="14"/>
  <c r="C2671" i="14"/>
  <c r="C797" i="14"/>
  <c r="C287" i="14"/>
  <c r="C159" i="14"/>
  <c r="C95" i="14"/>
  <c r="C4777" i="14"/>
  <c r="C4864" i="14"/>
  <c r="B32" i="14"/>
  <c r="C707" i="14"/>
  <c r="C617" i="14"/>
  <c r="C3733" i="14"/>
  <c r="B2671" i="14"/>
  <c r="B4256" i="14"/>
  <c r="B3821" i="14"/>
  <c r="C5038" i="14"/>
  <c r="C3165" i="14"/>
  <c r="C4603" i="14"/>
  <c r="C543" i="14"/>
  <c r="B2931" i="14"/>
  <c r="B2853" i="14"/>
  <c r="B4430" i="14"/>
  <c r="C4516" i="14"/>
  <c r="C479" i="14"/>
  <c r="C3646" i="14"/>
  <c r="C1517" i="14"/>
  <c r="B2983" i="14"/>
  <c r="C2417" i="14"/>
  <c r="C887" i="14"/>
  <c r="C1337" i="14"/>
  <c r="B3087" i="14"/>
  <c r="C4951" i="14"/>
  <c r="B3035" i="14"/>
  <c r="B290" i="14"/>
  <c r="B482" i="14"/>
  <c r="H2506" i="14" a="1"/>
  <c r="G4254" i="14"/>
  <c r="G2146" i="14"/>
  <c r="H31" i="14" a="1"/>
  <c r="F4429" i="14"/>
  <c r="G4080" i="14"/>
  <c r="F4690" i="14"/>
  <c r="H3007" i="14" a="1"/>
  <c r="F4081" i="14"/>
  <c r="G1066" i="14"/>
  <c r="H2799" i="14" a="1"/>
  <c r="F2852" i="14"/>
  <c r="F3060" i="14"/>
  <c r="H1155" i="14" a="1"/>
  <c r="G2878" i="14"/>
  <c r="F3165" i="14"/>
  <c r="G4776" i="14"/>
  <c r="H2669" i="14" a="1"/>
  <c r="G2416" i="14"/>
  <c r="F3138" i="14"/>
  <c r="H3470" i="14" a="1"/>
  <c r="G222" i="14"/>
  <c r="H2235" i="14" a="1"/>
  <c r="G158" i="14"/>
  <c r="F2644" i="14"/>
  <c r="G94" i="14"/>
  <c r="H4514" i="14" a="1"/>
  <c r="G1786" i="14"/>
  <c r="F481" i="14"/>
  <c r="F3211" i="14"/>
  <c r="H2617" i="14" a="1"/>
  <c r="G2722" i="14"/>
  <c r="G2670" i="14"/>
  <c r="H885" i="14" a="1"/>
  <c r="G2507" i="14"/>
  <c r="G1336" i="14"/>
  <c r="H349" i="14" a="1"/>
  <c r="H4166" i="14" a="1"/>
  <c r="H3818" i="14" a="1"/>
  <c r="G3210" i="14"/>
  <c r="G3819" i="14"/>
  <c r="F2956" i="14"/>
  <c r="H2773" i="14" a="1"/>
  <c r="G3993" i="14"/>
  <c r="F2528" i="14"/>
  <c r="H2981" i="14" a="1"/>
  <c r="H157" i="14" a="1"/>
  <c r="H2415" i="14" a="1"/>
  <c r="G543" i="14"/>
  <c r="F3034" i="14"/>
  <c r="H4775" i="14" a="1"/>
  <c r="H3992" i="14" a="1"/>
  <c r="G1156" i="14"/>
  <c r="G3471" i="14"/>
  <c r="H2643" i="14" a="1"/>
  <c r="F31" i="14"/>
  <c r="G616" i="14"/>
  <c r="H1965" i="14" a="1"/>
  <c r="G3558" i="14"/>
  <c r="G1246" i="14"/>
  <c r="G4863" i="14"/>
  <c r="H2903" i="14" a="1"/>
  <c r="F225" i="14"/>
  <c r="H4601" i="14" a="1"/>
  <c r="H3209" i="14" a="1"/>
  <c r="G1606" i="14"/>
  <c r="G3906" i="14"/>
  <c r="H4862" i="14" a="1"/>
  <c r="F2800" i="14"/>
  <c r="F4777" i="14"/>
  <c r="G5038" i="14"/>
  <c r="H3383" i="14" a="1"/>
  <c r="G4515" i="14"/>
  <c r="F3385" i="14"/>
  <c r="H705" i="14" a="1"/>
  <c r="G4689" i="14"/>
  <c r="H2145" i="14" a="1"/>
  <c r="G2826" i="14"/>
  <c r="G2956" i="14"/>
  <c r="F5039" i="14"/>
  <c r="F3994" i="14"/>
  <c r="H2695" i="14" a="1"/>
  <c r="H1335" i="14" a="1"/>
  <c r="G2056" i="14"/>
  <c r="G3732" i="14"/>
  <c r="H4427" i="14" a="1"/>
  <c r="F3008" i="14"/>
  <c r="H413" i="14" a="1"/>
  <c r="F4951" i="14"/>
  <c r="H4949" i="14" a="1"/>
  <c r="G4428" i="14"/>
  <c r="F3733" i="14"/>
  <c r="H3644" i="14" a="1"/>
  <c r="H3085" i="14" a="1"/>
  <c r="G4602" i="14"/>
  <c r="G3112" i="14"/>
  <c r="H4079" i="14" a="1"/>
  <c r="H3164" i="14" a="1"/>
  <c r="F3820" i="14"/>
  <c r="G2696" i="14"/>
  <c r="H285" i="14" a="1"/>
  <c r="F3112" i="14"/>
  <c r="H2877" i="14" a="1"/>
  <c r="G3297" i="14"/>
  <c r="G286" i="14"/>
  <c r="G886" i="14"/>
  <c r="F680" i="14"/>
  <c r="H3731" i="14" a="1"/>
  <c r="G2982" i="14"/>
  <c r="G2800" i="14"/>
  <c r="H3905" i="14" a="1"/>
  <c r="G3086" i="14"/>
  <c r="F615" i="14"/>
  <c r="F2696" i="14"/>
  <c r="H1875" i="14" a="1"/>
  <c r="F97" i="14"/>
  <c r="H1695" i="14" a="1"/>
  <c r="H2747" i="14" a="1"/>
  <c r="G1696" i="14"/>
  <c r="G3008" i="14"/>
  <c r="H1425" i="14" a="1"/>
  <c r="F2930" i="14"/>
  <c r="F3559" i="14"/>
  <c r="H93" i="14" a="1"/>
  <c r="H4688" i="14" a="1"/>
  <c r="G2748" i="14"/>
  <c r="F4603" i="14"/>
  <c r="H477" i="14" a="1"/>
  <c r="G350" i="14"/>
  <c r="H3557" i="14" a="1"/>
  <c r="F3646" i="14"/>
  <c r="F4255" i="14"/>
  <c r="H2325" i="14" a="1"/>
  <c r="F2774" i="14"/>
  <c r="F289" i="14"/>
  <c r="H1605" i="14" a="1"/>
  <c r="H4340" i="14" a="1"/>
  <c r="F2748" i="14"/>
  <c r="G2852" i="14"/>
  <c r="G2236" i="14"/>
  <c r="F417" i="14"/>
  <c r="G3060" i="14"/>
  <c r="F4516" i="14"/>
  <c r="F2826" i="14"/>
  <c r="H5037" i="14" a="1"/>
  <c r="G2774" i="14"/>
  <c r="H1785" i="14" a="1"/>
  <c r="H2721" i="14" a="1"/>
  <c r="G3034" i="14"/>
  <c r="G3165" i="14"/>
  <c r="H1515" i="14" a="1"/>
  <c r="G4341" i="14"/>
  <c r="G2930" i="14"/>
  <c r="F3907" i="14"/>
  <c r="G1876" i="14"/>
  <c r="G3138" i="14"/>
  <c r="H1065" i="14" a="1"/>
  <c r="G4950" i="14"/>
  <c r="G976" i="14"/>
  <c r="G2904" i="14"/>
  <c r="H4253" i="14" a="1"/>
  <c r="H615" i="14" a="1"/>
  <c r="H542" i="14" a="1"/>
  <c r="G1966" i="14"/>
  <c r="F2435" i="14"/>
  <c r="H3059" i="14" a="1"/>
  <c r="H2825" i="14" a="1"/>
  <c r="G2326" i="14"/>
  <c r="G1426" i="14"/>
  <c r="H1245" i="14" a="1"/>
  <c r="F3086" i="14"/>
  <c r="F353" i="14"/>
  <c r="G4167" i="14"/>
  <c r="H795" i="14" a="1"/>
  <c r="F161" i="14"/>
  <c r="F2722" i="14"/>
  <c r="H2055" i="14" a="1"/>
  <c r="H975" i="14" a="1"/>
  <c r="G3384" i="14"/>
  <c r="F4168" i="14"/>
  <c r="F4342" i="14"/>
  <c r="G796" i="14"/>
  <c r="F2904" i="14"/>
  <c r="G478" i="14"/>
  <c r="F546" i="14"/>
  <c r="H2851" i="14" a="1"/>
  <c r="G706" i="14"/>
  <c r="F3472" i="14"/>
  <c r="F4864" i="14"/>
  <c r="H2929" i="14" a="1"/>
  <c r="G414" i="14"/>
  <c r="H3111" i="14" a="1"/>
  <c r="F2878" i="14"/>
  <c r="G3645" i="14"/>
  <c r="H3033" i="14" a="1"/>
  <c r="F3298" i="14"/>
  <c r="G32" i="14"/>
  <c r="G1516" i="14"/>
  <c r="G2644" i="14"/>
  <c r="H3137" i="14" a="1"/>
  <c r="H3296" i="14" a="1"/>
  <c r="F2670" i="14"/>
  <c r="F2982" i="14"/>
  <c r="H221" i="14" a="1"/>
  <c r="H2955" i="14" a="1"/>
  <c r="H1335" i="14" l="1"/>
  <c r="H157" i="14"/>
  <c r="H2747" i="14"/>
  <c r="H4514" i="14"/>
  <c r="H3296" i="14"/>
  <c r="H542" i="14"/>
  <c r="H349" i="14"/>
  <c r="H2415" i="14"/>
  <c r="H4688" i="14"/>
  <c r="H3085" i="14"/>
  <c r="H3209" i="14"/>
  <c r="H1875" i="14"/>
  <c r="H1515" i="14"/>
  <c r="H3731" i="14"/>
  <c r="H2617" i="14"/>
  <c r="H2851" i="14"/>
  <c r="H3383" i="14"/>
  <c r="H413" i="14"/>
  <c r="H2799" i="14"/>
  <c r="H2903" i="14"/>
  <c r="H5037" i="14"/>
  <c r="H2643" i="14"/>
  <c r="H3557" i="14"/>
  <c r="H975" i="14"/>
  <c r="H2669" i="14"/>
  <c r="H2695" i="14"/>
  <c r="H3033" i="14"/>
  <c r="H3007" i="14"/>
  <c r="H795" i="14"/>
  <c r="H2506" i="14"/>
  <c r="H2145" i="14"/>
  <c r="H1605" i="14"/>
  <c r="H221" i="14"/>
  <c r="H1425" i="14"/>
  <c r="H2981" i="14"/>
  <c r="H4775" i="14"/>
  <c r="H3059" i="14"/>
  <c r="H1065" i="14"/>
  <c r="H2235" i="14"/>
  <c r="H477" i="14"/>
  <c r="H3137" i="14"/>
  <c r="H4862" i="14"/>
  <c r="H3644" i="14"/>
  <c r="H3164" i="14"/>
  <c r="H3905" i="14"/>
  <c r="H4079" i="14"/>
  <c r="H2955" i="14"/>
  <c r="H705" i="14"/>
  <c r="H2721" i="14"/>
  <c r="H1155" i="14"/>
  <c r="H885" i="14"/>
  <c r="H3818" i="14"/>
  <c r="H1965" i="14"/>
  <c r="H4166" i="14"/>
  <c r="H3111" i="14"/>
  <c r="H3470" i="14"/>
  <c r="H2055" i="14"/>
  <c r="H3992" i="14"/>
  <c r="H2325" i="14"/>
  <c r="H4427" i="14"/>
  <c r="H31" i="14"/>
  <c r="H4340" i="14"/>
  <c r="H2773" i="14"/>
  <c r="H4253" i="14"/>
  <c r="H1245" i="14"/>
  <c r="H2929" i="14"/>
  <c r="H1695" i="14"/>
  <c r="H2825" i="14"/>
  <c r="H2877" i="14"/>
  <c r="H615" i="14"/>
  <c r="H4949" i="14"/>
  <c r="H285" i="14"/>
  <c r="H93" i="14"/>
  <c r="H1785" i="14"/>
  <c r="H4601" i="14"/>
  <c r="B4605" i="14"/>
  <c r="C4952" i="14"/>
  <c r="B4779" i="14"/>
  <c r="C4169" i="14"/>
  <c r="B2854" i="14"/>
  <c r="B483" i="14"/>
  <c r="C4517" i="14"/>
  <c r="C4343" i="14"/>
  <c r="B4431" i="14"/>
  <c r="B3010" i="14"/>
  <c r="C4604" i="14"/>
  <c r="B3648" i="14"/>
  <c r="C1788" i="14"/>
  <c r="C2854" i="14"/>
  <c r="C2418" i="14"/>
  <c r="C1968" i="14"/>
  <c r="B291" i="14"/>
  <c r="B2750" i="14"/>
  <c r="B3561" i="14"/>
  <c r="C2238" i="14"/>
  <c r="C978" i="14"/>
  <c r="B2880" i="14"/>
  <c r="C352" i="14"/>
  <c r="C416" i="14"/>
  <c r="B163" i="14"/>
  <c r="B99" i="14"/>
  <c r="C3114" i="14"/>
  <c r="C4082" i="14"/>
  <c r="C5039" i="14"/>
  <c r="B2958" i="14"/>
  <c r="B4866" i="14"/>
  <c r="C2932" i="14"/>
  <c r="C2828" i="14"/>
  <c r="C3036" i="14"/>
  <c r="C2148" i="14"/>
  <c r="B547" i="14"/>
  <c r="B3909" i="14"/>
  <c r="C618" i="14"/>
  <c r="C708" i="14"/>
  <c r="C2724" i="14"/>
  <c r="C2328" i="14"/>
  <c r="C3386" i="14"/>
  <c r="B3088" i="14"/>
  <c r="B2828" i="14"/>
  <c r="B3036" i="14"/>
  <c r="C1158" i="14"/>
  <c r="C3010" i="14"/>
  <c r="C4778" i="14"/>
  <c r="C1338" i="14"/>
  <c r="B3735" i="14"/>
  <c r="B3996" i="14"/>
  <c r="B5040" i="14"/>
  <c r="B2724" i="14"/>
  <c r="B3062" i="14"/>
  <c r="B4170" i="14"/>
  <c r="B2437" i="14"/>
  <c r="B681" i="14"/>
  <c r="B617" i="14"/>
  <c r="C3088" i="14"/>
  <c r="C888" i="14"/>
  <c r="C3140" i="14"/>
  <c r="B4692" i="14"/>
  <c r="C3647" i="14"/>
  <c r="C3995" i="14"/>
  <c r="C2750" i="14"/>
  <c r="B4953" i="14"/>
  <c r="C2508" i="14"/>
  <c r="C4865" i="14"/>
  <c r="B2530" i="14"/>
  <c r="B2776" i="14"/>
  <c r="B355" i="14"/>
  <c r="B4518" i="14"/>
  <c r="C798" i="14"/>
  <c r="C96" i="14"/>
  <c r="C160" i="14"/>
  <c r="B3822" i="14"/>
  <c r="B3474" i="14"/>
  <c r="C1428" i="14"/>
  <c r="C1608" i="14"/>
  <c r="C4691" i="14"/>
  <c r="B4344" i="14"/>
  <c r="C224" i="14"/>
  <c r="B3166" i="14"/>
  <c r="C3473" i="14"/>
  <c r="C1518" i="14"/>
  <c r="B3387" i="14"/>
  <c r="C2958" i="14"/>
  <c r="B2906" i="14"/>
  <c r="C4256" i="14"/>
  <c r="C3908" i="14"/>
  <c r="C3166" i="14"/>
  <c r="C3734" i="14"/>
  <c r="C2906" i="14"/>
  <c r="C2776" i="14"/>
  <c r="C34" i="14"/>
  <c r="C288" i="14"/>
  <c r="C1878" i="14"/>
  <c r="C3062" i="14"/>
  <c r="C480" i="14"/>
  <c r="C544" i="14"/>
  <c r="C3821" i="14"/>
  <c r="B227" i="14"/>
  <c r="C3299" i="14"/>
  <c r="C3212" i="14"/>
  <c r="C3560" i="14"/>
  <c r="B3114" i="14"/>
  <c r="C2698" i="14"/>
  <c r="C2802" i="14"/>
  <c r="B2698" i="14"/>
  <c r="B33" i="14"/>
  <c r="C1248" i="14"/>
  <c r="C1698" i="14"/>
  <c r="B419" i="14"/>
  <c r="B3213" i="14"/>
  <c r="B3300" i="14"/>
  <c r="B2932" i="14"/>
  <c r="C2058" i="14"/>
  <c r="B4083" i="14"/>
  <c r="B4257" i="14"/>
  <c r="B2802" i="14"/>
  <c r="C4430" i="14"/>
  <c r="C2880" i="14"/>
  <c r="B3140" i="14"/>
  <c r="C1068" i="14"/>
  <c r="B2984" i="14"/>
  <c r="C2984" i="14"/>
  <c r="H350" i="14" a="1"/>
  <c r="F418" i="14"/>
  <c r="G707" i="14"/>
  <c r="H4689" i="14" a="1"/>
  <c r="F2853" i="14"/>
  <c r="G4603" i="14"/>
  <c r="G2749" i="14"/>
  <c r="H3112" i="14" a="1"/>
  <c r="H4341" i="14" a="1"/>
  <c r="G1697" i="14"/>
  <c r="G4342" i="14"/>
  <c r="F547" i="14"/>
  <c r="H1066" i="14" a="1"/>
  <c r="F3734" i="14"/>
  <c r="G2827" i="14"/>
  <c r="H414" i="14" a="1"/>
  <c r="H3297" i="14" a="1"/>
  <c r="H2748" i="14" a="1"/>
  <c r="F2983" i="14"/>
  <c r="H1696" i="14" a="1"/>
  <c r="G977" i="14"/>
  <c r="H3471" i="14" a="1"/>
  <c r="G33" i="14"/>
  <c r="F2436" i="14"/>
  <c r="F3087" i="14"/>
  <c r="H286" i="14" a="1"/>
  <c r="H222" i="14" a="1"/>
  <c r="F226" i="14"/>
  <c r="H3558" i="14" a="1"/>
  <c r="G1967" i="14"/>
  <c r="H1336" i="14" a="1"/>
  <c r="H158" i="14" a="1"/>
  <c r="F3166" i="14"/>
  <c r="F4691" i="14"/>
  <c r="G2237" i="14"/>
  <c r="H1966" i="14" a="1"/>
  <c r="H4428" i="14" a="1"/>
  <c r="H2800" i="14" a="1"/>
  <c r="F3009" i="14"/>
  <c r="H3086" i="14" a="1"/>
  <c r="H976" i="14" a="1"/>
  <c r="F2827" i="14"/>
  <c r="F4430" i="14"/>
  <c r="H2146" i="14" a="1"/>
  <c r="G4081" i="14"/>
  <c r="F4778" i="14"/>
  <c r="G5039" i="14"/>
  <c r="H2326" i="14" a="1"/>
  <c r="G3113" i="14"/>
  <c r="F4604" i="14"/>
  <c r="H3993" i="14" a="1"/>
  <c r="G3646" i="14"/>
  <c r="H2416" i="14" a="1"/>
  <c r="G1877" i="14"/>
  <c r="F5040" i="14"/>
  <c r="G1517" i="14"/>
  <c r="H4602" i="14" a="1"/>
  <c r="G2147" i="14"/>
  <c r="G887" i="14"/>
  <c r="H4167" i="14" a="1"/>
  <c r="H2982" i="14" a="1"/>
  <c r="H3008" i="14" a="1"/>
  <c r="G3385" i="14"/>
  <c r="G2957" i="14"/>
  <c r="G2775" i="14"/>
  <c r="F616" i="14"/>
  <c r="G3472" i="14"/>
  <c r="F98" i="14"/>
  <c r="G3298" i="14"/>
  <c r="F3035" i="14"/>
  <c r="G2801" i="14"/>
  <c r="H3165" i="14" a="1"/>
  <c r="G2853" i="14"/>
  <c r="H886" i="14" a="1"/>
  <c r="G3166" i="14"/>
  <c r="H3384" i="14" a="1"/>
  <c r="G4951" i="14"/>
  <c r="G2879" i="14"/>
  <c r="G2983" i="14"/>
  <c r="F2957" i="14"/>
  <c r="H1786" i="14" a="1"/>
  <c r="G3211" i="14"/>
  <c r="G415" i="14"/>
  <c r="F354" i="14"/>
  <c r="H1246" i="14" a="1"/>
  <c r="F2671" i="14"/>
  <c r="F3560" i="14"/>
  <c r="F2905" i="14"/>
  <c r="G4429" i="14"/>
  <c r="H4863" i="14" a="1"/>
  <c r="H4254" i="14" a="1"/>
  <c r="H2056" i="14" a="1"/>
  <c r="G1337" i="14"/>
  <c r="H796" i="14" a="1"/>
  <c r="G287" i="14"/>
  <c r="H616" i="14" a="1"/>
  <c r="G3559" i="14"/>
  <c r="G4690" i="14"/>
  <c r="G2327" i="14"/>
  <c r="H1516" i="14" a="1"/>
  <c r="G1247" i="14"/>
  <c r="F3821" i="14"/>
  <c r="F2775" i="14"/>
  <c r="H4776" i="14" a="1"/>
  <c r="H5038" i="14" a="1"/>
  <c r="H3906" i="14" a="1"/>
  <c r="F2749" i="14"/>
  <c r="G2931" i="14"/>
  <c r="F3299" i="14"/>
  <c r="F3139" i="14"/>
  <c r="G2905" i="14"/>
  <c r="H2826" i="14" a="1"/>
  <c r="G2057" i="14"/>
  <c r="H2236" i="14" a="1"/>
  <c r="H2670" i="14" a="1"/>
  <c r="H3645" i="14" a="1"/>
  <c r="G3087" i="14"/>
  <c r="F4343" i="14"/>
  <c r="G3035" i="14"/>
  <c r="G3907" i="14"/>
  <c r="F3212" i="14"/>
  <c r="G797" i="14"/>
  <c r="H1426" i="14" a="1"/>
  <c r="G1787" i="14"/>
  <c r="G4516" i="14"/>
  <c r="G2697" i="14"/>
  <c r="H2904" i="14" a="1"/>
  <c r="H2774" i="14" a="1"/>
  <c r="H1606" i="14" a="1"/>
  <c r="G2508" i="14"/>
  <c r="F3995" i="14"/>
  <c r="F3473" i="14"/>
  <c r="H706" i="14" a="1"/>
  <c r="H543" i="14" a="1"/>
  <c r="F32" i="14"/>
  <c r="F4517" i="14"/>
  <c r="F3908" i="14"/>
  <c r="H4515" i="14" a="1"/>
  <c r="F3113" i="14"/>
  <c r="F482" i="14"/>
  <c r="F4952" i="14"/>
  <c r="H2722" i="14" a="1"/>
  <c r="F3061" i="14"/>
  <c r="G544" i="14"/>
  <c r="G3994" i="14"/>
  <c r="F2529" i="14"/>
  <c r="H2878" i="14" a="1"/>
  <c r="F3647" i="14"/>
  <c r="F2801" i="14"/>
  <c r="F3386" i="14"/>
  <c r="H1876" i="14" a="1"/>
  <c r="F290" i="14"/>
  <c r="G95" i="14"/>
  <c r="G159" i="14"/>
  <c r="H2852" i="14" a="1"/>
  <c r="F162" i="14"/>
  <c r="G1157" i="14"/>
  <c r="H94" i="14" a="1"/>
  <c r="H2930" i="14" a="1"/>
  <c r="G4864" i="14"/>
  <c r="F2723" i="14"/>
  <c r="H4950" i="14" a="1"/>
  <c r="H32" i="14" a="1"/>
  <c r="G3009" i="14"/>
  <c r="G1427" i="14"/>
  <c r="H2956" i="14" a="1"/>
  <c r="H3732" i="14" a="1"/>
  <c r="G4255" i="14"/>
  <c r="H1156" i="14" a="1"/>
  <c r="G3733" i="14"/>
  <c r="G1607" i="14"/>
  <c r="G3139" i="14"/>
  <c r="H478" i="14" a="1"/>
  <c r="H2696" i="14" a="1"/>
  <c r="G223" i="14"/>
  <c r="F4865" i="14"/>
  <c r="H3138" i="14" a="1"/>
  <c r="G351" i="14"/>
  <c r="G4777" i="14"/>
  <c r="F2697" i="14"/>
  <c r="F681" i="14"/>
  <c r="F2931" i="14"/>
  <c r="G2723" i="14"/>
  <c r="H3819" i="14" a="1"/>
  <c r="F4256" i="14"/>
  <c r="F4169" i="14"/>
  <c r="H4080" i="14" a="1"/>
  <c r="G3061" i="14"/>
  <c r="G2417" i="14"/>
  <c r="H3210" i="14" a="1"/>
  <c r="F4082" i="14"/>
  <c r="H2507" i="14" a="1"/>
  <c r="G1067" i="14"/>
  <c r="F2879" i="14"/>
  <c r="G479" i="14"/>
  <c r="H3060" i="14" a="1"/>
  <c r="G2671" i="14"/>
  <c r="G617" i="14"/>
  <c r="G4168" i="14"/>
  <c r="H2644" i="14" a="1"/>
  <c r="H3034" i="14" a="1"/>
  <c r="G3820" i="14"/>
  <c r="H4341" i="14" l="1"/>
  <c r="H1246" i="14"/>
  <c r="H976" i="14"/>
  <c r="H2956" i="14"/>
  <c r="H3008" i="14"/>
  <c r="H414" i="14"/>
  <c r="H2748" i="14"/>
  <c r="H2236" i="14"/>
  <c r="H4428" i="14"/>
  <c r="H32" i="14"/>
  <c r="H350" i="14"/>
  <c r="H3060" i="14"/>
  <c r="H3471" i="14"/>
  <c r="H3906" i="14"/>
  <c r="H3034" i="14"/>
  <c r="H2878" i="14"/>
  <c r="H158" i="14"/>
  <c r="H4515" i="14"/>
  <c r="H1966" i="14"/>
  <c r="H1786" i="14"/>
  <c r="H706" i="14"/>
  <c r="H4167" i="14"/>
  <c r="H3819" i="14"/>
  <c r="H3165" i="14"/>
  <c r="H222" i="14"/>
  <c r="H4776" i="14"/>
  <c r="H4863" i="14"/>
  <c r="H3210" i="14"/>
  <c r="H2774" i="14"/>
  <c r="H2800" i="14"/>
  <c r="H3558" i="14"/>
  <c r="H2416" i="14"/>
  <c r="H3732" i="14"/>
  <c r="H2146" i="14"/>
  <c r="H2696" i="14"/>
  <c r="H796" i="14"/>
  <c r="H2507" i="14"/>
  <c r="H4080" i="14"/>
  <c r="H2670" i="14"/>
  <c r="H1066" i="14"/>
  <c r="H2722" i="14"/>
  <c r="H4689" i="14"/>
  <c r="H2930" i="14"/>
  <c r="H1426" i="14"/>
  <c r="H3645" i="14"/>
  <c r="H2904" i="14"/>
  <c r="H1876" i="14"/>
  <c r="H2644" i="14"/>
  <c r="H5038" i="14"/>
  <c r="H1606" i="14"/>
  <c r="H543" i="14"/>
  <c r="H478" i="14"/>
  <c r="H2852" i="14"/>
  <c r="H3993" i="14"/>
  <c r="H886" i="14"/>
  <c r="H2056" i="14"/>
  <c r="H2326" i="14"/>
  <c r="H1336" i="14"/>
  <c r="H1516" i="14"/>
  <c r="H94" i="14"/>
  <c r="H3384" i="14"/>
  <c r="H4254" i="14"/>
  <c r="H4602" i="14"/>
  <c r="H3138" i="14"/>
  <c r="H3112" i="14"/>
  <c r="H286" i="14"/>
  <c r="H3086" i="14"/>
  <c r="H2826" i="14"/>
  <c r="H2982" i="14"/>
  <c r="H1696" i="14"/>
  <c r="H3297" i="14"/>
  <c r="H1156" i="14"/>
  <c r="H616" i="14"/>
  <c r="H4950" i="14"/>
  <c r="C799" i="14"/>
  <c r="C2239" i="14"/>
  <c r="C3141" i="14"/>
  <c r="B2907" i="14"/>
  <c r="B2777" i="14"/>
  <c r="B548" i="14"/>
  <c r="C2907" i="14"/>
  <c r="B34" i="14"/>
  <c r="B3141" i="14"/>
  <c r="C1969" i="14"/>
  <c r="C2933" i="14"/>
  <c r="B4432" i="14"/>
  <c r="B3562" i="14"/>
  <c r="C2777" i="14"/>
  <c r="C3167" i="14"/>
  <c r="C2959" i="14"/>
  <c r="C4170" i="14"/>
  <c r="C4692" i="14"/>
  <c r="C3011" i="14"/>
  <c r="B4171" i="14"/>
  <c r="B484" i="14"/>
  <c r="C3909" i="14"/>
  <c r="C4344" i="14"/>
  <c r="C1609" i="14"/>
  <c r="B4606" i="14"/>
  <c r="C4953" i="14"/>
  <c r="C4083" i="14"/>
  <c r="B2438" i="14"/>
  <c r="C4866" i="14"/>
  <c r="B2855" i="14"/>
  <c r="C2751" i="14"/>
  <c r="C417" i="14"/>
  <c r="B3649" i="14"/>
  <c r="C2509" i="14"/>
  <c r="C4605" i="14"/>
  <c r="B4867" i="14"/>
  <c r="B2725" i="14"/>
  <c r="C3648" i="14"/>
  <c r="C4779" i="14"/>
  <c r="B3910" i="14"/>
  <c r="B2933" i="14"/>
  <c r="B420" i="14"/>
  <c r="C3735" i="14"/>
  <c r="B4258" i="14"/>
  <c r="B4084" i="14"/>
  <c r="C3037" i="14"/>
  <c r="C709" i="14"/>
  <c r="C619" i="14"/>
  <c r="C2881" i="14"/>
  <c r="B3037" i="14"/>
  <c r="C1249" i="14"/>
  <c r="B228" i="14"/>
  <c r="C1069" i="14"/>
  <c r="B356" i="14"/>
  <c r="C1879" i="14"/>
  <c r="B4519" i="14"/>
  <c r="B2881" i="14"/>
  <c r="B2829" i="14"/>
  <c r="B2959" i="14"/>
  <c r="C2725" i="14"/>
  <c r="C545" i="14"/>
  <c r="C35" i="14"/>
  <c r="C2985" i="14"/>
  <c r="C1699" i="14"/>
  <c r="C225" i="14"/>
  <c r="B2803" i="14"/>
  <c r="B5041" i="14"/>
  <c r="B618" i="14"/>
  <c r="B682" i="14"/>
  <c r="B3089" i="14"/>
  <c r="B3823" i="14"/>
  <c r="C3474" i="14"/>
  <c r="B4693" i="14"/>
  <c r="B3011" i="14"/>
  <c r="C979" i="14"/>
  <c r="B3115" i="14"/>
  <c r="C5040" i="14"/>
  <c r="C4518" i="14"/>
  <c r="C2149" i="14"/>
  <c r="C2829" i="14"/>
  <c r="C353" i="14"/>
  <c r="C3561" i="14"/>
  <c r="C3115" i="14"/>
  <c r="B2985" i="14"/>
  <c r="B164" i="14"/>
  <c r="B100" i="14"/>
  <c r="C1159" i="14"/>
  <c r="B4345" i="14"/>
  <c r="B3388" i="14"/>
  <c r="C1339" i="14"/>
  <c r="B292" i="14"/>
  <c r="C2803" i="14"/>
  <c r="B3475" i="14"/>
  <c r="C161" i="14"/>
  <c r="C97" i="14"/>
  <c r="B4780" i="14"/>
  <c r="C1429" i="14"/>
  <c r="B3997" i="14"/>
  <c r="C2855" i="14"/>
  <c r="C2329" i="14"/>
  <c r="B3736" i="14"/>
  <c r="B4954" i="14"/>
  <c r="C3213" i="14"/>
  <c r="C3300" i="14"/>
  <c r="C3822" i="14"/>
  <c r="C1789" i="14"/>
  <c r="C3387" i="14"/>
  <c r="C3063" i="14"/>
  <c r="B3167" i="14"/>
  <c r="B3214" i="14"/>
  <c r="B3301" i="14"/>
  <c r="C3089" i="14"/>
  <c r="C3996" i="14"/>
  <c r="C289" i="14"/>
  <c r="C1519" i="14"/>
  <c r="C889" i="14"/>
  <c r="B2531" i="14"/>
  <c r="B2751" i="14"/>
  <c r="B3063" i="14"/>
  <c r="C2419" i="14"/>
  <c r="C481" i="14"/>
  <c r="C2059" i="14"/>
  <c r="C4431" i="14"/>
  <c r="C4257" i="14"/>
  <c r="H4429" i="14" a="1"/>
  <c r="G480" i="14"/>
  <c r="F3996" i="14"/>
  <c r="G1338" i="14"/>
  <c r="F3822" i="14"/>
  <c r="H3035" i="14" a="1"/>
  <c r="F483" i="14"/>
  <c r="H3820" i="14" a="1"/>
  <c r="G1518" i="14"/>
  <c r="F682" i="14"/>
  <c r="H2723" i="14" a="1"/>
  <c r="F4605" i="14"/>
  <c r="G2828" i="14"/>
  <c r="G2724" i="14"/>
  <c r="G4343" i="14"/>
  <c r="G4865" i="14"/>
  <c r="F2750" i="14"/>
  <c r="H2697" i="14" a="1"/>
  <c r="F99" i="14"/>
  <c r="H887" i="14" a="1"/>
  <c r="G3560" i="14"/>
  <c r="H3211" i="14" a="1"/>
  <c r="G3167" i="14"/>
  <c r="F3300" i="14"/>
  <c r="H1337" i="14" a="1"/>
  <c r="F2802" i="14"/>
  <c r="F4083" i="14"/>
  <c r="H3139" i="14" a="1"/>
  <c r="H4342" i="14" a="1"/>
  <c r="G545" i="14"/>
  <c r="G1248" i="14"/>
  <c r="H3472" i="14" a="1"/>
  <c r="G4604" i="14"/>
  <c r="H797" i="14" a="1"/>
  <c r="G3473" i="14"/>
  <c r="F2698" i="14"/>
  <c r="F419" i="14"/>
  <c r="G3908" i="14"/>
  <c r="G1968" i="14"/>
  <c r="H1607" i="14" a="1"/>
  <c r="H3061" i="14" a="1"/>
  <c r="G2750" i="14"/>
  <c r="H1427" i="14" a="1"/>
  <c r="F4170" i="14"/>
  <c r="H223" i="14" a="1"/>
  <c r="G2238" i="14"/>
  <c r="G3995" i="14"/>
  <c r="H2508" i="14" a="1"/>
  <c r="F2984" i="14"/>
  <c r="G1878" i="14"/>
  <c r="H4255" i="14" a="1"/>
  <c r="H95" i="14" a="1"/>
  <c r="G1068" i="14"/>
  <c r="H1967" i="14" a="1"/>
  <c r="G4952" i="14"/>
  <c r="H1697" i="14" a="1"/>
  <c r="F2958" i="14"/>
  <c r="H3994" i="14" a="1"/>
  <c r="H544" i="14" a="1"/>
  <c r="F3387" i="14"/>
  <c r="H1877" i="14" a="1"/>
  <c r="H2957" i="14" a="1"/>
  <c r="H3113" i="14" a="1"/>
  <c r="G2880" i="14"/>
  <c r="G4430" i="14"/>
  <c r="H2931" i="14" a="1"/>
  <c r="H4864" i="14" a="1"/>
  <c r="H159" i="14" a="1"/>
  <c r="F4518" i="14"/>
  <c r="H287" i="14" a="1"/>
  <c r="F3561" i="14"/>
  <c r="F3474" i="14"/>
  <c r="H479" i="14" a="1"/>
  <c r="H3298" i="14" a="1"/>
  <c r="F2437" i="14"/>
  <c r="F3167" i="14"/>
  <c r="H3009" i="14" a="1"/>
  <c r="G2698" i="14"/>
  <c r="H2237" i="14" a="1"/>
  <c r="G96" i="14"/>
  <c r="H977" i="14" a="1"/>
  <c r="F4866" i="14"/>
  <c r="G3734" i="14"/>
  <c r="G34" i="14"/>
  <c r="G3088" i="14"/>
  <c r="H4081" i="14" a="1"/>
  <c r="G618" i="14"/>
  <c r="H2775" i="14" a="1"/>
  <c r="F617" i="14"/>
  <c r="G1428" i="14"/>
  <c r="H4690" i="14" a="1"/>
  <c r="G4691" i="14"/>
  <c r="G3114" i="14"/>
  <c r="G708" i="14"/>
  <c r="H3733" i="14" a="1"/>
  <c r="G3386" i="14"/>
  <c r="G3036" i="14"/>
  <c r="H2147" i="14" a="1"/>
  <c r="G2958" i="14"/>
  <c r="H4603" i="14" a="1"/>
  <c r="H2749" i="14" a="1"/>
  <c r="H4777" i="14" a="1"/>
  <c r="F3036" i="14"/>
  <c r="G2509" i="14"/>
  <c r="F3909" i="14"/>
  <c r="F4692" i="14"/>
  <c r="F3114" i="14"/>
  <c r="F2776" i="14"/>
  <c r="G2148" i="14"/>
  <c r="G4517" i="14"/>
  <c r="G888" i="14"/>
  <c r="H1787" i="14" a="1"/>
  <c r="H2057" i="14" a="1"/>
  <c r="H3907" i="14" a="1"/>
  <c r="G160" i="14"/>
  <c r="G4778" i="14"/>
  <c r="F3010" i="14"/>
  <c r="F3648" i="14"/>
  <c r="G2906" i="14"/>
  <c r="H3559" i="14" a="1"/>
  <c r="F4257" i="14"/>
  <c r="G3299" i="14"/>
  <c r="F2906" i="14"/>
  <c r="F355" i="14"/>
  <c r="G3212" i="14"/>
  <c r="G352" i="14"/>
  <c r="H5039" i="14" a="1"/>
  <c r="G3647" i="14"/>
  <c r="G2776" i="14"/>
  <c r="G3140" i="14"/>
  <c r="H2417" i="14" a="1"/>
  <c r="F2828" i="14"/>
  <c r="F2932" i="14"/>
  <c r="G5040" i="14"/>
  <c r="H3385" i="14" a="1"/>
  <c r="F4344" i="14"/>
  <c r="H2827" i="14" a="1"/>
  <c r="G224" i="14"/>
  <c r="F3062" i="14"/>
  <c r="G2058" i="14"/>
  <c r="H2801" i="14" a="1"/>
  <c r="H3166" i="14" a="1"/>
  <c r="H2671" i="14" a="1"/>
  <c r="F3088" i="14"/>
  <c r="F163" i="14"/>
  <c r="G1158" i="14"/>
  <c r="H1157" i="14" a="1"/>
  <c r="H617" i="14" a="1"/>
  <c r="G288" i="14"/>
  <c r="H1247" i="14" a="1"/>
  <c r="F3140" i="14"/>
  <c r="G4256" i="14"/>
  <c r="H3087" i="14" a="1"/>
  <c r="F4779" i="14"/>
  <c r="F548" i="14"/>
  <c r="G2328" i="14"/>
  <c r="G2854" i="14"/>
  <c r="F227" i="14"/>
  <c r="F2530" i="14"/>
  <c r="H3646" i="14" a="1"/>
  <c r="G4082" i="14"/>
  <c r="H4516" i="14" a="1"/>
  <c r="F2880" i="14"/>
  <c r="H415" i="14" a="1"/>
  <c r="G3062" i="14"/>
  <c r="G4169" i="14"/>
  <c r="H2983" i="14" a="1"/>
  <c r="H1067" i="14" a="1"/>
  <c r="F33" i="14"/>
  <c r="G2984" i="14"/>
  <c r="H351" i="14" a="1"/>
  <c r="F291" i="14"/>
  <c r="G3010" i="14"/>
  <c r="G416" i="14"/>
  <c r="H4951" i="14" a="1"/>
  <c r="F2724" i="14"/>
  <c r="G3821" i="14"/>
  <c r="H2327" i="14" a="1"/>
  <c r="H707" i="14" a="1"/>
  <c r="G2802" i="14"/>
  <c r="G798" i="14"/>
  <c r="H1517" i="14" a="1"/>
  <c r="F5041" i="14"/>
  <c r="F4953" i="14"/>
  <c r="H2853" i="14" a="1"/>
  <c r="H2905" i="14" a="1"/>
  <c r="H4168" i="14" a="1"/>
  <c r="F3213" i="14"/>
  <c r="G2418" i="14"/>
  <c r="G1608" i="14"/>
  <c r="H2879" i="14" a="1"/>
  <c r="G978" i="14"/>
  <c r="G2932" i="14"/>
  <c r="F3735" i="14"/>
  <c r="H33" i="14" a="1"/>
  <c r="G1698" i="14"/>
  <c r="F2854" i="14"/>
  <c r="F4431" i="14"/>
  <c r="G1788" i="14"/>
  <c r="H5039" i="14" l="1"/>
  <c r="H1697" i="14"/>
  <c r="H3472" i="14"/>
  <c r="H3113" i="14"/>
  <c r="H33" i="14"/>
  <c r="H617" i="14"/>
  <c r="H4168" i="14"/>
  <c r="H1337" i="14"/>
  <c r="H3559" i="14"/>
  <c r="H3733" i="14"/>
  <c r="H3646" i="14"/>
  <c r="H95" i="14"/>
  <c r="H2957" i="14"/>
  <c r="H4081" i="14"/>
  <c r="H2508" i="14"/>
  <c r="H2931" i="14"/>
  <c r="H2057" i="14"/>
  <c r="H223" i="14"/>
  <c r="H2147" i="14"/>
  <c r="H3061" i="14"/>
  <c r="H4255" i="14"/>
  <c r="H3035" i="14"/>
  <c r="H3907" i="14"/>
  <c r="H3166" i="14"/>
  <c r="H415" i="14"/>
  <c r="H797" i="14"/>
  <c r="H2697" i="14"/>
  <c r="H4342" i="14"/>
  <c r="H1607" i="14"/>
  <c r="H2827" i="14"/>
  <c r="H2983" i="14"/>
  <c r="H1967" i="14"/>
  <c r="H4777" i="14"/>
  <c r="H4516" i="14"/>
  <c r="H3009" i="14"/>
  <c r="H3087" i="14"/>
  <c r="H3139" i="14"/>
  <c r="H1877" i="14"/>
  <c r="H2671" i="14"/>
  <c r="H3385" i="14"/>
  <c r="H3211" i="14"/>
  <c r="H4603" i="14"/>
  <c r="H2879" i="14"/>
  <c r="H4690" i="14"/>
  <c r="H1247" i="14"/>
  <c r="H1517" i="14"/>
  <c r="H977" i="14"/>
  <c r="H1427" i="14"/>
  <c r="H2237" i="14"/>
  <c r="H887" i="14"/>
  <c r="H2853" i="14"/>
  <c r="H2723" i="14"/>
  <c r="H2775" i="14"/>
  <c r="H4951" i="14"/>
  <c r="H4429" i="14"/>
  <c r="H2749" i="14"/>
  <c r="H159" i="14"/>
  <c r="H2801" i="14"/>
  <c r="H2327" i="14"/>
  <c r="H3298" i="14"/>
  <c r="H3820" i="14"/>
  <c r="H1067" i="14"/>
  <c r="H287" i="14"/>
  <c r="H3994" i="14"/>
  <c r="H2905" i="14"/>
  <c r="H4864" i="14"/>
  <c r="H351" i="14"/>
  <c r="H2417" i="14"/>
  <c r="H479" i="14"/>
  <c r="H1157" i="14"/>
  <c r="H544" i="14"/>
  <c r="H1787" i="14"/>
  <c r="H707" i="14"/>
  <c r="B3215" i="14"/>
  <c r="B3302" i="14"/>
  <c r="B5042" i="14"/>
  <c r="B3563" i="14"/>
  <c r="B229" i="14"/>
  <c r="B4607" i="14"/>
  <c r="B2439" i="14"/>
  <c r="B4259" i="14"/>
  <c r="C2986" i="14"/>
  <c r="B683" i="14"/>
  <c r="B619" i="14"/>
  <c r="C2752" i="14"/>
  <c r="C620" i="14"/>
  <c r="C710" i="14"/>
  <c r="C3910" i="14"/>
  <c r="C1970" i="14"/>
  <c r="C4780" i="14"/>
  <c r="C2804" i="14"/>
  <c r="C4084" i="14"/>
  <c r="C3090" i="14"/>
  <c r="C3388" i="14"/>
  <c r="C2420" i="14"/>
  <c r="C3142" i="14"/>
  <c r="C2240" i="14"/>
  <c r="C36" i="14"/>
  <c r="B3064" i="14"/>
  <c r="C3064" i="14"/>
  <c r="B485" i="14"/>
  <c r="C3736" i="14"/>
  <c r="B2882" i="14"/>
  <c r="C5041" i="14"/>
  <c r="C3997" i="14"/>
  <c r="C2060" i="14"/>
  <c r="C2330" i="14"/>
  <c r="B4781" i="14"/>
  <c r="C1700" i="14"/>
  <c r="C354" i="14"/>
  <c r="C1790" i="14"/>
  <c r="B293" i="14"/>
  <c r="C3823" i="14"/>
  <c r="C4867" i="14"/>
  <c r="B2778" i="14"/>
  <c r="B3012" i="14"/>
  <c r="C3562" i="14"/>
  <c r="C800" i="14"/>
  <c r="C4693" i="14"/>
  <c r="C2778" i="14"/>
  <c r="C3038" i="14"/>
  <c r="C546" i="14"/>
  <c r="B4868" i="14"/>
  <c r="C1070" i="14"/>
  <c r="B3911" i="14"/>
  <c r="C3116" i="14"/>
  <c r="B357" i="14"/>
  <c r="C1250" i="14"/>
  <c r="B421" i="14"/>
  <c r="C4954" i="14"/>
  <c r="B3650" i="14"/>
  <c r="B3168" i="14"/>
  <c r="B2804" i="14"/>
  <c r="B4085" i="14"/>
  <c r="B3476" i="14"/>
  <c r="B4346" i="14"/>
  <c r="C1880" i="14"/>
  <c r="C4432" i="14"/>
  <c r="B4433" i="14"/>
  <c r="C2856" i="14"/>
  <c r="B3142" i="14"/>
  <c r="C3012" i="14"/>
  <c r="C2960" i="14"/>
  <c r="C2934" i="14"/>
  <c r="C3168" i="14"/>
  <c r="B2532" i="14"/>
  <c r="B2986" i="14"/>
  <c r="C1340" i="14"/>
  <c r="C4345" i="14"/>
  <c r="C3214" i="14"/>
  <c r="C3301" i="14"/>
  <c r="C98" i="14"/>
  <c r="C162" i="14"/>
  <c r="B2830" i="14"/>
  <c r="B2856" i="14"/>
  <c r="C2510" i="14"/>
  <c r="C980" i="14"/>
  <c r="C3475" i="14"/>
  <c r="C2882" i="14"/>
  <c r="C226" i="14"/>
  <c r="C1430" i="14"/>
  <c r="C3649" i="14"/>
  <c r="C4606" i="14"/>
  <c r="B3038" i="14"/>
  <c r="B3116" i="14"/>
  <c r="C290" i="14"/>
  <c r="B2908" i="14"/>
  <c r="C1160" i="14"/>
  <c r="C2908" i="14"/>
  <c r="B4172" i="14"/>
  <c r="B2960" i="14"/>
  <c r="B2752" i="14"/>
  <c r="B3737" i="14"/>
  <c r="B4694" i="14"/>
  <c r="B549" i="14"/>
  <c r="C4258" i="14"/>
  <c r="C890" i="14"/>
  <c r="B2934" i="14"/>
  <c r="B3824" i="14"/>
  <c r="C1520" i="14"/>
  <c r="C2150" i="14"/>
  <c r="C4171" i="14"/>
  <c r="C2830" i="14"/>
  <c r="C4519" i="14"/>
  <c r="B3090" i="14"/>
  <c r="C1610" i="14"/>
  <c r="B3389" i="14"/>
  <c r="B165" i="14"/>
  <c r="B101" i="14"/>
  <c r="C418" i="14"/>
  <c r="B3998" i="14"/>
  <c r="B4955" i="14"/>
  <c r="C482" i="14"/>
  <c r="B4520" i="14"/>
  <c r="B35" i="14"/>
  <c r="H1518" i="14" a="1"/>
  <c r="F2881" i="14"/>
  <c r="G225" i="14"/>
  <c r="H545" i="14" a="1"/>
  <c r="H2724" i="14" a="1"/>
  <c r="G2149" i="14"/>
  <c r="H1878" i="14" a="1"/>
  <c r="F4954" i="14"/>
  <c r="F228" i="14"/>
  <c r="G1519" i="14"/>
  <c r="H4604" i="14" a="1"/>
  <c r="G4170" i="14"/>
  <c r="G3063" i="14"/>
  <c r="F3168" i="14"/>
  <c r="F4171" i="14"/>
  <c r="H3647" i="14" a="1"/>
  <c r="F4432" i="14"/>
  <c r="H2984" i="14" a="1"/>
  <c r="H352" i="14" a="1"/>
  <c r="G2907" i="14"/>
  <c r="H288" i="14" a="1"/>
  <c r="F356" i="14"/>
  <c r="G1339" i="14"/>
  <c r="H1968" i="14" a="1"/>
  <c r="G2829" i="14"/>
  <c r="G417" i="14"/>
  <c r="G4779" i="14"/>
  <c r="F3997" i="14"/>
  <c r="F100" i="14"/>
  <c r="F2751" i="14"/>
  <c r="F420" i="14"/>
  <c r="H618" i="14" a="1"/>
  <c r="F2907" i="14"/>
  <c r="H1608" i="14" a="1"/>
  <c r="G1609" i="14"/>
  <c r="F3475" i="14"/>
  <c r="H4256" i="14" a="1"/>
  <c r="G5041" i="14"/>
  <c r="G4518" i="14"/>
  <c r="G1699" i="14"/>
  <c r="F2985" i="14"/>
  <c r="F2777" i="14"/>
  <c r="H4343" i="14" a="1"/>
  <c r="G4083" i="14"/>
  <c r="G2059" i="14"/>
  <c r="G353" i="14"/>
  <c r="G3115" i="14"/>
  <c r="G3996" i="14"/>
  <c r="H5040" i="14" a="1"/>
  <c r="G2751" i="14"/>
  <c r="G3648" i="14"/>
  <c r="H3167" i="14" a="1"/>
  <c r="G2239" i="14"/>
  <c r="F2725" i="14"/>
  <c r="H1788" i="14" a="1"/>
  <c r="G4866" i="14"/>
  <c r="F3063" i="14"/>
  <c r="G3089" i="14"/>
  <c r="H4082" i="14" a="1"/>
  <c r="F3141" i="14"/>
  <c r="G2855" i="14"/>
  <c r="G3909" i="14"/>
  <c r="H888" i="14" a="1"/>
  <c r="H978" i="14" a="1"/>
  <c r="F549" i="14"/>
  <c r="H2698" i="14" a="1"/>
  <c r="G619" i="14"/>
  <c r="H4691" i="14" a="1"/>
  <c r="H4865" i="14" a="1"/>
  <c r="G1969" i="14"/>
  <c r="G3141" i="14"/>
  <c r="H1698" i="14" a="1"/>
  <c r="H3299" i="14" a="1"/>
  <c r="G546" i="14"/>
  <c r="H1338" i="14" a="1"/>
  <c r="G3168" i="14"/>
  <c r="H2958" i="14" a="1"/>
  <c r="F4606" i="14"/>
  <c r="G1159" i="14"/>
  <c r="G4344" i="14"/>
  <c r="F164" i="14"/>
  <c r="G1069" i="14"/>
  <c r="H3386" i="14" a="1"/>
  <c r="H4778" i="14" a="1"/>
  <c r="H2802" i="14" a="1"/>
  <c r="H3995" i="14" a="1"/>
  <c r="H2906" i="14" a="1"/>
  <c r="G289" i="14"/>
  <c r="G2803" i="14"/>
  <c r="F2933" i="14"/>
  <c r="G3822" i="14"/>
  <c r="G3011" i="14"/>
  <c r="G3474" i="14"/>
  <c r="F4084" i="14"/>
  <c r="H2509" i="14" a="1"/>
  <c r="F4345" i="14"/>
  <c r="F618" i="14"/>
  <c r="H224" i="14" a="1"/>
  <c r="F4258" i="14"/>
  <c r="H4430" i="14" a="1"/>
  <c r="F3301" i="14"/>
  <c r="G35" i="14"/>
  <c r="H2880" i="14" a="1"/>
  <c r="G4953" i="14"/>
  <c r="H4952" i="14" a="1"/>
  <c r="F3736" i="14"/>
  <c r="H708" i="14" a="1"/>
  <c r="G1789" i="14"/>
  <c r="F3115" i="14"/>
  <c r="H34" i="14" a="1"/>
  <c r="F2531" i="14"/>
  <c r="F3089" i="14"/>
  <c r="G2881" i="14"/>
  <c r="H2148" i="14" a="1"/>
  <c r="G4431" i="14"/>
  <c r="F3562" i="14"/>
  <c r="G4692" i="14"/>
  <c r="G889" i="14"/>
  <c r="H160" i="14" a="1"/>
  <c r="F34" i="14"/>
  <c r="H3010" i="14" a="1"/>
  <c r="H4517" i="14" a="1"/>
  <c r="G799" i="14"/>
  <c r="G2985" i="14"/>
  <c r="H3114" i="14" a="1"/>
  <c r="G97" i="14"/>
  <c r="F3649" i="14"/>
  <c r="H3560" i="14" a="1"/>
  <c r="G161" i="14"/>
  <c r="F2438" i="14"/>
  <c r="H3908" i="14" a="1"/>
  <c r="H2238" i="14" a="1"/>
  <c r="F5042" i="14"/>
  <c r="F3037" i="14"/>
  <c r="F3388" i="14"/>
  <c r="H2750" i="14" a="1"/>
  <c r="G2959" i="14"/>
  <c r="F2803" i="14"/>
  <c r="F4780" i="14"/>
  <c r="G3037" i="14"/>
  <c r="G3213" i="14"/>
  <c r="H3821" i="14" a="1"/>
  <c r="F3823" i="14"/>
  <c r="G709" i="14"/>
  <c r="G3387" i="14"/>
  <c r="H3036" i="14" a="1"/>
  <c r="F2855" i="14"/>
  <c r="G3300" i="14"/>
  <c r="H2058" i="14" a="1"/>
  <c r="H480" i="14" a="1"/>
  <c r="G1429" i="14"/>
  <c r="F2959" i="14"/>
  <c r="H96" i="14" a="1"/>
  <c r="F3011" i="14"/>
  <c r="F4867" i="14"/>
  <c r="G2777" i="14"/>
  <c r="G3561" i="14"/>
  <c r="G979" i="14"/>
  <c r="G2510" i="14"/>
  <c r="H3734" i="14" a="1"/>
  <c r="F292" i="14"/>
  <c r="H4169" i="14" a="1"/>
  <c r="G2419" i="14"/>
  <c r="F2829" i="14"/>
  <c r="F4519" i="14"/>
  <c r="G3735" i="14"/>
  <c r="H2418" i="14" a="1"/>
  <c r="H1068" i="14" a="1"/>
  <c r="G2725" i="14"/>
  <c r="H3473" i="14" a="1"/>
  <c r="G481" i="14"/>
  <c r="H2932" i="14" a="1"/>
  <c r="G4605" i="14"/>
  <c r="G1249" i="14"/>
  <c r="F4693" i="14"/>
  <c r="H3088" i="14" a="1"/>
  <c r="F3910" i="14"/>
  <c r="H798" i="14" a="1"/>
  <c r="H2328" i="14" a="1"/>
  <c r="G4257" i="14"/>
  <c r="G2933" i="14"/>
  <c r="H3212" i="14" a="1"/>
  <c r="F3214" i="14"/>
  <c r="G2329" i="14"/>
  <c r="H1428" i="14" a="1"/>
  <c r="H1158" i="14" a="1"/>
  <c r="H416" i="14" a="1"/>
  <c r="G1879" i="14"/>
  <c r="H2854" i="14" a="1"/>
  <c r="F683" i="14"/>
  <c r="H3140" i="14" a="1"/>
  <c r="F484" i="14"/>
  <c r="H2828" i="14" a="1"/>
  <c r="H3062" i="14" a="1"/>
  <c r="H2776" i="14" a="1"/>
  <c r="H1248" i="14" a="1"/>
  <c r="H3212" i="14" l="1"/>
  <c r="H2724" i="14"/>
  <c r="H1068" i="14"/>
  <c r="H4691" i="14"/>
  <c r="H618" i="14"/>
  <c r="H352" i="14"/>
  <c r="H978" i="14"/>
  <c r="H2238" i="14"/>
  <c r="H3088" i="14"/>
  <c r="H2148" i="14"/>
  <c r="H4517" i="14"/>
  <c r="H3734" i="14"/>
  <c r="H2802" i="14"/>
  <c r="H160" i="14"/>
  <c r="H3647" i="14"/>
  <c r="H4082" i="14"/>
  <c r="H3821" i="14"/>
  <c r="H4952" i="14"/>
  <c r="H5040" i="14"/>
  <c r="H3036" i="14"/>
  <c r="H1338" i="14"/>
  <c r="H34" i="14"/>
  <c r="H2776" i="14"/>
  <c r="H4604" i="14"/>
  <c r="H3560" i="14"/>
  <c r="H1608" i="14"/>
  <c r="H1518" i="14"/>
  <c r="H2958" i="14"/>
  <c r="H4865" i="14"/>
  <c r="H4256" i="14"/>
  <c r="H2854" i="14"/>
  <c r="H3062" i="14"/>
  <c r="H1788" i="14"/>
  <c r="H2906" i="14"/>
  <c r="H4169" i="14"/>
  <c r="H1698" i="14"/>
  <c r="H288" i="14"/>
  <c r="H480" i="14"/>
  <c r="H4430" i="14"/>
  <c r="H708" i="14"/>
  <c r="H1878" i="14"/>
  <c r="H3473" i="14"/>
  <c r="H1158" i="14"/>
  <c r="H1968" i="14"/>
  <c r="H1248" i="14"/>
  <c r="H4778" i="14"/>
  <c r="H798" i="14"/>
  <c r="H224" i="14"/>
  <c r="H2828" i="14"/>
  <c r="H3114" i="14"/>
  <c r="H2509" i="14"/>
  <c r="H3010" i="14"/>
  <c r="H4343" i="14"/>
  <c r="H3299" i="14"/>
  <c r="H3386" i="14"/>
  <c r="H2058" i="14"/>
  <c r="H416" i="14"/>
  <c r="H3167" i="14"/>
  <c r="H3995" i="14"/>
  <c r="H3140" i="14"/>
  <c r="H1428" i="14"/>
  <c r="H2698" i="14"/>
  <c r="H2750" i="14"/>
  <c r="H2932" i="14"/>
  <c r="H96" i="14"/>
  <c r="H545" i="14"/>
  <c r="H2418" i="14"/>
  <c r="H2880" i="14"/>
  <c r="H2328" i="14"/>
  <c r="H2984" i="14"/>
  <c r="H888" i="14"/>
  <c r="H3908" i="14"/>
  <c r="C419" i="14"/>
  <c r="C3824" i="14"/>
  <c r="B36" i="14"/>
  <c r="C4955" i="14"/>
  <c r="B4086" i="14"/>
  <c r="B4782" i="14"/>
  <c r="C3737" i="14"/>
  <c r="C1971" i="14"/>
  <c r="B3169" i="14"/>
  <c r="B2831" i="14"/>
  <c r="B3999" i="14"/>
  <c r="C3650" i="14"/>
  <c r="C4085" i="14"/>
  <c r="B2440" i="14"/>
  <c r="C2241" i="14"/>
  <c r="C981" i="14"/>
  <c r="C1071" i="14"/>
  <c r="C227" i="14"/>
  <c r="C1431" i="14"/>
  <c r="C2883" i="14"/>
  <c r="B4434" i="14"/>
  <c r="C1341" i="14"/>
  <c r="C1161" i="14"/>
  <c r="C2805" i="14"/>
  <c r="C3091" i="14"/>
  <c r="B684" i="14"/>
  <c r="B620" i="14"/>
  <c r="C1251" i="14"/>
  <c r="B3065" i="14"/>
  <c r="C3389" i="14"/>
  <c r="B3738" i="14"/>
  <c r="B4956" i="14"/>
  <c r="B2805" i="14"/>
  <c r="C2421" i="14"/>
  <c r="C2511" i="14"/>
  <c r="C3013" i="14"/>
  <c r="B2987" i="14"/>
  <c r="C4520" i="14"/>
  <c r="C5042" i="14"/>
  <c r="B2935" i="14"/>
  <c r="C4868" i="14"/>
  <c r="C1701" i="14"/>
  <c r="B2961" i="14"/>
  <c r="C355" i="14"/>
  <c r="C3563" i="14"/>
  <c r="C4433" i="14"/>
  <c r="C4259" i="14"/>
  <c r="B486" i="14"/>
  <c r="C3065" i="14"/>
  <c r="C1791" i="14"/>
  <c r="C2331" i="14"/>
  <c r="C3117" i="14"/>
  <c r="C547" i="14"/>
  <c r="B3117" i="14"/>
  <c r="B3825" i="14"/>
  <c r="C2935" i="14"/>
  <c r="B3143" i="14"/>
  <c r="C1521" i="14"/>
  <c r="C163" i="14"/>
  <c r="C99" i="14"/>
  <c r="C2961" i="14"/>
  <c r="B3039" i="14"/>
  <c r="B358" i="14"/>
  <c r="B4869" i="14"/>
  <c r="C3169" i="14"/>
  <c r="C4172" i="14"/>
  <c r="C3998" i="14"/>
  <c r="B4695" i="14"/>
  <c r="B3390" i="14"/>
  <c r="B230" i="14"/>
  <c r="B3013" i="14"/>
  <c r="B422" i="14"/>
  <c r="C4781" i="14"/>
  <c r="C1881" i="14"/>
  <c r="B2909" i="14"/>
  <c r="C2831" i="14"/>
  <c r="C801" i="14"/>
  <c r="B294" i="14"/>
  <c r="B5043" i="14"/>
  <c r="B3477" i="14"/>
  <c r="B3912" i="14"/>
  <c r="C2909" i="14"/>
  <c r="B2883" i="14"/>
  <c r="C3302" i="14"/>
  <c r="C3215" i="14"/>
  <c r="B4173" i="14"/>
  <c r="C37" i="14"/>
  <c r="C3476" i="14"/>
  <c r="C711" i="14"/>
  <c r="C621" i="14"/>
  <c r="B4347" i="14"/>
  <c r="C2857" i="14"/>
  <c r="C4694" i="14"/>
  <c r="B2533" i="14"/>
  <c r="C3039" i="14"/>
  <c r="C3143" i="14"/>
  <c r="C891" i="14"/>
  <c r="C2151" i="14"/>
  <c r="C2779" i="14"/>
  <c r="B3651" i="14"/>
  <c r="B4260" i="14"/>
  <c r="B2857" i="14"/>
  <c r="C3911" i="14"/>
  <c r="B4608" i="14"/>
  <c r="C483" i="14"/>
  <c r="B550" i="14"/>
  <c r="C2061" i="14"/>
  <c r="B166" i="14"/>
  <c r="B102" i="14"/>
  <c r="C4607" i="14"/>
  <c r="C1611" i="14"/>
  <c r="C4346" i="14"/>
  <c r="B2779" i="14"/>
  <c r="C291" i="14"/>
  <c r="C2987" i="14"/>
  <c r="B4521" i="14"/>
  <c r="B3564" i="14"/>
  <c r="B3091" i="14"/>
  <c r="B3303" i="14"/>
  <c r="B3216" i="14"/>
  <c r="H1429" i="14" a="1"/>
  <c r="H4779" i="14" a="1"/>
  <c r="H1519" i="14" a="1"/>
  <c r="F2882" i="14"/>
  <c r="F3389" i="14"/>
  <c r="F293" i="14"/>
  <c r="H3213" i="14" a="1"/>
  <c r="F3064" i="14"/>
  <c r="G1340" i="14"/>
  <c r="F684" i="14"/>
  <c r="H2725" i="14" a="1"/>
  <c r="H4605" i="14" a="1"/>
  <c r="F3142" i="14"/>
  <c r="H3063" i="14" a="1"/>
  <c r="G2060" i="14"/>
  <c r="G2150" i="14"/>
  <c r="G4519" i="14"/>
  <c r="H2933" i="14" a="1"/>
  <c r="F2960" i="14"/>
  <c r="F2908" i="14"/>
  <c r="F3911" i="14"/>
  <c r="H417" i="14" a="1"/>
  <c r="F5043" i="14"/>
  <c r="F485" i="14"/>
  <c r="G3142" i="14"/>
  <c r="G482" i="14"/>
  <c r="H546" i="14" a="1"/>
  <c r="G3823" i="14"/>
  <c r="G3116" i="14"/>
  <c r="H3474" i="14" a="1"/>
  <c r="H4170" i="14" a="1"/>
  <c r="H3037" i="14" a="1"/>
  <c r="F357" i="14"/>
  <c r="H1879" i="14" a="1"/>
  <c r="F3998" i="14"/>
  <c r="F2986" i="14"/>
  <c r="H3996" i="14" a="1"/>
  <c r="F4955" i="14"/>
  <c r="G2330" i="14"/>
  <c r="H4692" i="14" a="1"/>
  <c r="H3089" i="14" a="1"/>
  <c r="G3562" i="14"/>
  <c r="H4257" i="14" a="1"/>
  <c r="G1610" i="14"/>
  <c r="G2778" i="14"/>
  <c r="H1609" i="14" a="1"/>
  <c r="H709" i="14" a="1"/>
  <c r="G4693" i="14"/>
  <c r="H2059" i="14" a="1"/>
  <c r="F101" i="14"/>
  <c r="G2934" i="14"/>
  <c r="F3215" i="14"/>
  <c r="H2419" i="14" a="1"/>
  <c r="F2830" i="14"/>
  <c r="H2803" i="14" a="1"/>
  <c r="F4085" i="14"/>
  <c r="H1339" i="14" a="1"/>
  <c r="G98" i="14"/>
  <c r="G5042" i="14"/>
  <c r="F421" i="14"/>
  <c r="F2778" i="14"/>
  <c r="F165" i="14"/>
  <c r="G3038" i="14"/>
  <c r="F3737" i="14"/>
  <c r="G1160" i="14"/>
  <c r="H225" i="14" a="1"/>
  <c r="G4171" i="14"/>
  <c r="G4954" i="14"/>
  <c r="H619" i="14" a="1"/>
  <c r="G2986" i="14"/>
  <c r="G36" i="14"/>
  <c r="G1520" i="14"/>
  <c r="H2829" i="14" a="1"/>
  <c r="F3650" i="14"/>
  <c r="G2960" i="14"/>
  <c r="G1970" i="14"/>
  <c r="H1969" i="14" a="1"/>
  <c r="F2752" i="14"/>
  <c r="H3168" i="14" a="1"/>
  <c r="H161" i="14" a="1"/>
  <c r="G2804" i="14"/>
  <c r="G4258" i="14"/>
  <c r="G2240" i="14"/>
  <c r="F4520" i="14"/>
  <c r="G3388" i="14"/>
  <c r="H2959" i="14" a="1"/>
  <c r="F35" i="14"/>
  <c r="H799" i="14" a="1"/>
  <c r="F4607" i="14"/>
  <c r="H4518" i="14" a="1"/>
  <c r="H3011" i="14" a="1"/>
  <c r="G3649" i="14"/>
  <c r="G4606" i="14"/>
  <c r="G3214" i="14"/>
  <c r="H5041" i="14" a="1"/>
  <c r="F3038" i="14"/>
  <c r="G290" i="14"/>
  <c r="F4694" i="14"/>
  <c r="G4780" i="14"/>
  <c r="G162" i="14"/>
  <c r="H2329" i="14" a="1"/>
  <c r="F3012" i="14"/>
  <c r="G418" i="14"/>
  <c r="H3115" i="14" a="1"/>
  <c r="H3141" i="14" a="1"/>
  <c r="F2804" i="14"/>
  <c r="G547" i="14"/>
  <c r="H1249" i="14" a="1"/>
  <c r="G1700" i="14"/>
  <c r="H2881" i="14" a="1"/>
  <c r="F4346" i="14"/>
  <c r="G890" i="14"/>
  <c r="G226" i="14"/>
  <c r="H979" i="14" a="1"/>
  <c r="G620" i="14"/>
  <c r="H4083" i="14" a="1"/>
  <c r="G2856" i="14"/>
  <c r="F550" i="14"/>
  <c r="H3822" i="14" a="1"/>
  <c r="G4345" i="14"/>
  <c r="H3387" i="14" a="1"/>
  <c r="H2510" i="14" a="1"/>
  <c r="F229" i="14"/>
  <c r="G2420" i="14"/>
  <c r="G2882" i="14"/>
  <c r="H3648" i="14" a="1"/>
  <c r="H4344" i="14" a="1"/>
  <c r="H97" i="14" a="1"/>
  <c r="G3997" i="14"/>
  <c r="H1159" i="14" a="1"/>
  <c r="F2439" i="14"/>
  <c r="G980" i="14"/>
  <c r="G4084" i="14"/>
  <c r="G1250" i="14"/>
  <c r="G2830" i="14"/>
  <c r="H3909" i="14" a="1"/>
  <c r="F4868" i="14"/>
  <c r="F3476" i="14"/>
  <c r="F3824" i="14"/>
  <c r="F619" i="14"/>
  <c r="G800" i="14"/>
  <c r="H35" i="14" a="1"/>
  <c r="G4432" i="14"/>
  <c r="F3302" i="14"/>
  <c r="G2752" i="14"/>
  <c r="H4866" i="14" a="1"/>
  <c r="G1880" i="14"/>
  <c r="H481" i="14" a="1"/>
  <c r="H3735" i="14" a="1"/>
  <c r="G3169" i="14"/>
  <c r="G3090" i="14"/>
  <c r="F4781" i="14"/>
  <c r="F4259" i="14"/>
  <c r="H1069" i="14" a="1"/>
  <c r="H353" i="14" a="1"/>
  <c r="F2934" i="14"/>
  <c r="G1430" i="14"/>
  <c r="G3910" i="14"/>
  <c r="G3301" i="14"/>
  <c r="G354" i="14"/>
  <c r="H2907" i="14" a="1"/>
  <c r="G2511" i="14"/>
  <c r="H4953" i="14" a="1"/>
  <c r="G3064" i="14"/>
  <c r="H1699" i="14" a="1"/>
  <c r="F4172" i="14"/>
  <c r="G2908" i="14"/>
  <c r="H2239" i="14" a="1"/>
  <c r="H2985" i="14" a="1"/>
  <c r="H289" i="14" a="1"/>
  <c r="H3561" i="14" a="1"/>
  <c r="F4433" i="14"/>
  <c r="G3736" i="14"/>
  <c r="F3169" i="14"/>
  <c r="H1789" i="14" a="1"/>
  <c r="H3300" i="14" a="1"/>
  <c r="F3090" i="14"/>
  <c r="H2149" i="14" a="1"/>
  <c r="H2777" i="14" a="1"/>
  <c r="F3563" i="14"/>
  <c r="H2855" i="14" a="1"/>
  <c r="G710" i="14"/>
  <c r="H4431" i="14" a="1"/>
  <c r="F2856" i="14"/>
  <c r="G3012" i="14"/>
  <c r="G1070" i="14"/>
  <c r="G1790" i="14"/>
  <c r="H889" i="14" a="1"/>
  <c r="G4867" i="14"/>
  <c r="F2532" i="14"/>
  <c r="F3116" i="14"/>
  <c r="H2751" i="14" a="1"/>
  <c r="G3475" i="14"/>
  <c r="H3037" i="14" l="1"/>
  <c r="H2855" i="14"/>
  <c r="H2959" i="14"/>
  <c r="H4083" i="14"/>
  <c r="H2059" i="14"/>
  <c r="H4953" i="14"/>
  <c r="H4779" i="14"/>
  <c r="H1069" i="14"/>
  <c r="H2751" i="14"/>
  <c r="H4692" i="14"/>
  <c r="H3909" i="14"/>
  <c r="H417" i="14"/>
  <c r="H979" i="14"/>
  <c r="H709" i="14"/>
  <c r="H3011" i="14"/>
  <c r="H2329" i="14"/>
  <c r="H3735" i="14"/>
  <c r="H1969" i="14"/>
  <c r="H1159" i="14"/>
  <c r="H2725" i="14"/>
  <c r="H2933" i="14"/>
  <c r="H2881" i="14"/>
  <c r="H3168" i="14"/>
  <c r="H4518" i="14"/>
  <c r="H799" i="14"/>
  <c r="H225" i="14"/>
  <c r="H2419" i="14"/>
  <c r="H5041" i="14"/>
  <c r="H3213" i="14"/>
  <c r="H3063" i="14"/>
  <c r="H619" i="14"/>
  <c r="H3300" i="14"/>
  <c r="H1789" i="14"/>
  <c r="H2907" i="14"/>
  <c r="H3089" i="14"/>
  <c r="H2777" i="14"/>
  <c r="H4866" i="14"/>
  <c r="H1519" i="14"/>
  <c r="H1339" i="14"/>
  <c r="H2985" i="14"/>
  <c r="H2239" i="14"/>
  <c r="H4257" i="14"/>
  <c r="H546" i="14"/>
  <c r="H2829" i="14"/>
  <c r="H2149" i="14"/>
  <c r="H4431" i="14"/>
  <c r="H353" i="14"/>
  <c r="H3648" i="14"/>
  <c r="H2803" i="14"/>
  <c r="H3474" i="14"/>
  <c r="H3115" i="14"/>
  <c r="H1699" i="14"/>
  <c r="H3561" i="14"/>
  <c r="H161" i="14"/>
  <c r="H1249" i="14"/>
  <c r="H1609" i="14"/>
  <c r="H3822" i="14"/>
  <c r="H3141" i="14"/>
  <c r="H481" i="14"/>
  <c r="H2510" i="14"/>
  <c r="H97" i="14"/>
  <c r="H289" i="14"/>
  <c r="H4605" i="14"/>
  <c r="H1879" i="14"/>
  <c r="H4170" i="14"/>
  <c r="H889" i="14"/>
  <c r="H35" i="14"/>
  <c r="H3996" i="14"/>
  <c r="H3387" i="14"/>
  <c r="H4344" i="14"/>
  <c r="H1429" i="14"/>
  <c r="C1702" i="14"/>
  <c r="B359" i="14"/>
  <c r="C3092" i="14"/>
  <c r="C3651" i="14"/>
  <c r="C3118" i="14"/>
  <c r="B4261" i="14"/>
  <c r="B3478" i="14"/>
  <c r="C2988" i="14"/>
  <c r="C356" i="14"/>
  <c r="B4000" i="14"/>
  <c r="C2062" i="14"/>
  <c r="C5043" i="14"/>
  <c r="B3565" i="14"/>
  <c r="C2962" i="14"/>
  <c r="B2962" i="14"/>
  <c r="C3040" i="14"/>
  <c r="B5044" i="14"/>
  <c r="C3825" i="14"/>
  <c r="B37" i="14"/>
  <c r="B4348" i="14"/>
  <c r="C4782" i="14"/>
  <c r="C3564" i="14"/>
  <c r="C2858" i="14"/>
  <c r="B487" i="14"/>
  <c r="B4783" i="14"/>
  <c r="B4957" i="14"/>
  <c r="C228" i="14"/>
  <c r="B2988" i="14"/>
  <c r="C1252" i="14"/>
  <c r="C1522" i="14"/>
  <c r="C2332" i="14"/>
  <c r="B4087" i="14"/>
  <c r="C1972" i="14"/>
  <c r="B295" i="14"/>
  <c r="C4260" i="14"/>
  <c r="B4174" i="14"/>
  <c r="B2884" i="14"/>
  <c r="C2242" i="14"/>
  <c r="B3014" i="14"/>
  <c r="C1072" i="14"/>
  <c r="B2534" i="14"/>
  <c r="C892" i="14"/>
  <c r="C4869" i="14"/>
  <c r="C2832" i="14"/>
  <c r="C548" i="14"/>
  <c r="C982" i="14"/>
  <c r="C100" i="14"/>
  <c r="C164" i="14"/>
  <c r="C3144" i="14"/>
  <c r="B3652" i="14"/>
  <c r="B167" i="14"/>
  <c r="B103" i="14"/>
  <c r="B3826" i="14"/>
  <c r="B621" i="14"/>
  <c r="B685" i="14"/>
  <c r="C1432" i="14"/>
  <c r="C292" i="14"/>
  <c r="B4609" i="14"/>
  <c r="C4434" i="14"/>
  <c r="B231" i="14"/>
  <c r="B4696" i="14"/>
  <c r="B3739" i="14"/>
  <c r="C38" i="14"/>
  <c r="B2910" i="14"/>
  <c r="B2936" i="14"/>
  <c r="C4086" i="14"/>
  <c r="B423" i="14"/>
  <c r="B3144" i="14"/>
  <c r="C1882" i="14"/>
  <c r="C4521" i="14"/>
  <c r="C1792" i="14"/>
  <c r="C4608" i="14"/>
  <c r="C2512" i="14"/>
  <c r="C3477" i="14"/>
  <c r="B2441" i="14"/>
  <c r="B2858" i="14"/>
  <c r="B4870" i="14"/>
  <c r="B3304" i="14"/>
  <c r="B3217" i="14"/>
  <c r="C2806" i="14"/>
  <c r="B4435" i="14"/>
  <c r="C2936" i="14"/>
  <c r="B3170" i="14"/>
  <c r="C1162" i="14"/>
  <c r="B3391" i="14"/>
  <c r="C3014" i="14"/>
  <c r="C4956" i="14"/>
  <c r="B2832" i="14"/>
  <c r="B3092" i="14"/>
  <c r="C4695" i="14"/>
  <c r="C712" i="14"/>
  <c r="C622" i="14"/>
  <c r="C3216" i="14"/>
  <c r="C3303" i="14"/>
  <c r="C420" i="14"/>
  <c r="C1342" i="14"/>
  <c r="C2910" i="14"/>
  <c r="C3738" i="14"/>
  <c r="B3118" i="14"/>
  <c r="C802" i="14"/>
  <c r="C3390" i="14"/>
  <c r="B551" i="14"/>
  <c r="B2806" i="14"/>
  <c r="C3170" i="14"/>
  <c r="C2884" i="14"/>
  <c r="B3040" i="14"/>
  <c r="B3913" i="14"/>
  <c r="C2422" i="14"/>
  <c r="C4347" i="14"/>
  <c r="C3912" i="14"/>
  <c r="C2152" i="14"/>
  <c r="C3999" i="14"/>
  <c r="C3066" i="14"/>
  <c r="B3066" i="14"/>
  <c r="C1612" i="14"/>
  <c r="B4522" i="14"/>
  <c r="C4173" i="14"/>
  <c r="C484" i="14"/>
  <c r="H4780" i="14" a="1"/>
  <c r="G548" i="14"/>
  <c r="H547" i="14" a="1"/>
  <c r="F358" i="14"/>
  <c r="F102" i="14"/>
  <c r="H980" i="14" a="1"/>
  <c r="G4172" i="14"/>
  <c r="G483" i="14"/>
  <c r="H4171" i="14" a="1"/>
  <c r="F3825" i="14"/>
  <c r="H1970" i="14" a="1"/>
  <c r="G621" i="14"/>
  <c r="G2512" i="14"/>
  <c r="G3039" i="14"/>
  <c r="G1611" i="14"/>
  <c r="H4693" i="14" a="1"/>
  <c r="F3477" i="14"/>
  <c r="H2908" i="14" a="1"/>
  <c r="F166" i="14"/>
  <c r="H2960" i="14" a="1"/>
  <c r="G891" i="14"/>
  <c r="F2935" i="14"/>
  <c r="F620" i="14"/>
  <c r="F486" i="14"/>
  <c r="H5042" i="14" a="1"/>
  <c r="F4869" i="14"/>
  <c r="H1430" i="14" a="1"/>
  <c r="H418" i="14" a="1"/>
  <c r="H2882" i="14" a="1"/>
  <c r="F422" i="14"/>
  <c r="H3012" i="14" a="1"/>
  <c r="F5044" i="14"/>
  <c r="F2961" i="14"/>
  <c r="F4173" i="14"/>
  <c r="F2831" i="14"/>
  <c r="G2061" i="14"/>
  <c r="G37" i="14"/>
  <c r="H2060" i="14" a="1"/>
  <c r="G3911" i="14"/>
  <c r="G2987" i="14"/>
  <c r="G2857" i="14"/>
  <c r="H3169" i="14" a="1"/>
  <c r="G711" i="14"/>
  <c r="H4432" i="14" a="1"/>
  <c r="H3090" i="14" a="1"/>
  <c r="G3091" i="14"/>
  <c r="G2831" i="14"/>
  <c r="F3738" i="14"/>
  <c r="F3091" i="14"/>
  <c r="G3215" i="14"/>
  <c r="H3823" i="14" a="1"/>
  <c r="H3038" i="14" a="1"/>
  <c r="H1610" i="14" a="1"/>
  <c r="F3999" i="14"/>
  <c r="G3013" i="14"/>
  <c r="H482" i="14" a="1"/>
  <c r="H1070" i="14" a="1"/>
  <c r="F2987" i="14"/>
  <c r="F3117" i="14"/>
  <c r="H4519" i="14" a="1"/>
  <c r="G227" i="14"/>
  <c r="G3998" i="14"/>
  <c r="H1790" i="14" a="1"/>
  <c r="G3170" i="14"/>
  <c r="G1791" i="14"/>
  <c r="F4695" i="14"/>
  <c r="H98" i="14" a="1"/>
  <c r="G3389" i="14"/>
  <c r="G3824" i="14"/>
  <c r="F3651" i="14"/>
  <c r="H3064" i="14" a="1"/>
  <c r="H226" i="14" a="1"/>
  <c r="H1520" i="14" a="1"/>
  <c r="G4607" i="14"/>
  <c r="H36" i="14" a="1"/>
  <c r="G4346" i="14"/>
  <c r="G1431" i="14"/>
  <c r="G1521" i="14"/>
  <c r="G2331" i="14"/>
  <c r="H3388" i="14" a="1"/>
  <c r="H2150" i="14" a="1"/>
  <c r="H1250" i="14" a="1"/>
  <c r="H2804" i="14" a="1"/>
  <c r="G3650" i="14"/>
  <c r="H2330" i="14" a="1"/>
  <c r="G2779" i="14"/>
  <c r="F2779" i="14"/>
  <c r="H3142" i="14" a="1"/>
  <c r="F551" i="14"/>
  <c r="H354" i="14" a="1"/>
  <c r="F3912" i="14"/>
  <c r="G4868" i="14"/>
  <c r="H4258" i="14" a="1"/>
  <c r="G4259" i="14"/>
  <c r="G5043" i="14"/>
  <c r="G1341" i="14"/>
  <c r="F2440" i="14"/>
  <c r="H1700" i="14" a="1"/>
  <c r="F4521" i="14"/>
  <c r="H4606" i="14" a="1"/>
  <c r="F4086" i="14"/>
  <c r="H710" i="14" a="1"/>
  <c r="F2883" i="14"/>
  <c r="F3065" i="14"/>
  <c r="G3476" i="14"/>
  <c r="F685" i="14"/>
  <c r="F2857" i="14"/>
  <c r="H2986" i="14" a="1"/>
  <c r="F2533" i="14"/>
  <c r="G355" i="14"/>
  <c r="F2805" i="14"/>
  <c r="F2909" i="14"/>
  <c r="G2151" i="14"/>
  <c r="F4260" i="14"/>
  <c r="G3302" i="14"/>
  <c r="H3475" i="14" a="1"/>
  <c r="H800" i="14" a="1"/>
  <c r="G2421" i="14"/>
  <c r="H3997" i="14" a="1"/>
  <c r="G2241" i="14"/>
  <c r="H2856" i="14" a="1"/>
  <c r="H1340" i="14" a="1"/>
  <c r="F3039" i="14"/>
  <c r="G99" i="14"/>
  <c r="G3065" i="14"/>
  <c r="G1971" i="14"/>
  <c r="H4867" i="14" a="1"/>
  <c r="H2240" i="14" a="1"/>
  <c r="G4433" i="14"/>
  <c r="H4345" i="14" a="1"/>
  <c r="H4954" i="14" a="1"/>
  <c r="G1701" i="14"/>
  <c r="F230" i="14"/>
  <c r="G4955" i="14"/>
  <c r="G419" i="14"/>
  <c r="H2934" i="14" a="1"/>
  <c r="G801" i="14"/>
  <c r="F3390" i="14"/>
  <c r="F4956" i="14"/>
  <c r="H3649" i="14" a="1"/>
  <c r="F4782" i="14"/>
  <c r="H890" i="14" a="1"/>
  <c r="G4781" i="14"/>
  <c r="G2961" i="14"/>
  <c r="G3117" i="14"/>
  <c r="H3116" i="14" a="1"/>
  <c r="H3214" i="14" a="1"/>
  <c r="G163" i="14"/>
  <c r="H4084" i="14" a="1"/>
  <c r="G2883" i="14"/>
  <c r="F3013" i="14"/>
  <c r="F3170" i="14"/>
  <c r="H3301" i="14" a="1"/>
  <c r="G1881" i="14"/>
  <c r="F3564" i="14"/>
  <c r="F4608" i="14"/>
  <c r="H2420" i="14" a="1"/>
  <c r="G3563" i="14"/>
  <c r="H2752" i="14" a="1"/>
  <c r="F3303" i="14"/>
  <c r="H290" i="14" a="1"/>
  <c r="H3910" i="14" a="1"/>
  <c r="H2511" i="14" a="1"/>
  <c r="G3143" i="14"/>
  <c r="G4520" i="14"/>
  <c r="F3216" i="14"/>
  <c r="G1071" i="14"/>
  <c r="H1160" i="14" a="1"/>
  <c r="G1251" i="14"/>
  <c r="H620" i="14" a="1"/>
  <c r="G4085" i="14"/>
  <c r="G2805" i="14"/>
  <c r="G2909" i="14"/>
  <c r="F3143" i="14"/>
  <c r="H3736" i="14" a="1"/>
  <c r="H2778" i="14" a="1"/>
  <c r="H162" i="14" a="1"/>
  <c r="G291" i="14"/>
  <c r="F4347" i="14"/>
  <c r="F294" i="14"/>
  <c r="G981" i="14"/>
  <c r="H3562" i="14" a="1"/>
  <c r="H2830" i="14" a="1"/>
  <c r="H1880" i="14" a="1"/>
  <c r="G2935" i="14"/>
  <c r="G3737" i="14"/>
  <c r="F4434" i="14"/>
  <c r="F36" i="14"/>
  <c r="G4694" i="14"/>
  <c r="G1161" i="14"/>
  <c r="H3823" i="14" l="1"/>
  <c r="H2420" i="14"/>
  <c r="H4345" i="14"/>
  <c r="H3910" i="14"/>
  <c r="H4867" i="14"/>
  <c r="H1700" i="14"/>
  <c r="H162" i="14"/>
  <c r="H4171" i="14"/>
  <c r="H2856" i="14"/>
  <c r="H4084" i="14"/>
  <c r="H1250" i="14"/>
  <c r="H1520" i="14"/>
  <c r="H3475" i="14"/>
  <c r="H3064" i="14"/>
  <c r="H1790" i="14"/>
  <c r="H1880" i="14"/>
  <c r="H1430" i="14"/>
  <c r="H4519" i="14"/>
  <c r="H3997" i="14"/>
  <c r="H3214" i="14"/>
  <c r="H4606" i="14"/>
  <c r="H4693" i="14"/>
  <c r="H1610" i="14"/>
  <c r="H2778" i="14"/>
  <c r="H3142" i="14"/>
  <c r="H2511" i="14"/>
  <c r="H5042" i="14"/>
  <c r="H1070" i="14"/>
  <c r="H2908" i="14"/>
  <c r="H3388" i="14"/>
  <c r="H3169" i="14"/>
  <c r="H1160" i="14"/>
  <c r="H980" i="14"/>
  <c r="H2060" i="14"/>
  <c r="H2804" i="14"/>
  <c r="H2240" i="14"/>
  <c r="H290" i="14"/>
  <c r="H3301" i="14"/>
  <c r="H2882" i="14"/>
  <c r="H3038" i="14"/>
  <c r="H2830" i="14"/>
  <c r="H2986" i="14"/>
  <c r="H4780" i="14"/>
  <c r="H800" i="14"/>
  <c r="H226" i="14"/>
  <c r="H620" i="14"/>
  <c r="H4258" i="14"/>
  <c r="H1340" i="14"/>
  <c r="H3736" i="14"/>
  <c r="H2330" i="14"/>
  <c r="H36" i="14"/>
  <c r="H710" i="14"/>
  <c r="H3116" i="14"/>
  <c r="H2934" i="14"/>
  <c r="H1970" i="14"/>
  <c r="H418" i="14"/>
  <c r="H890" i="14"/>
  <c r="H547" i="14"/>
  <c r="H98" i="14"/>
  <c r="H2960" i="14"/>
  <c r="H482" i="14"/>
  <c r="H4432" i="14"/>
  <c r="H2752" i="14"/>
  <c r="H354" i="14"/>
  <c r="H4954" i="14"/>
  <c r="H3562" i="14"/>
  <c r="H3649" i="14"/>
  <c r="H2150" i="14"/>
  <c r="H3090" i="14"/>
  <c r="H3012" i="14"/>
  <c r="C893" i="14"/>
  <c r="C1433" i="14"/>
  <c r="C713" i="14"/>
  <c r="C623" i="14"/>
  <c r="C1343" i="14"/>
  <c r="B4871" i="14"/>
  <c r="C421" i="14"/>
  <c r="C2513" i="14"/>
  <c r="C5044" i="14"/>
  <c r="B3305" i="14"/>
  <c r="B3218" i="14"/>
  <c r="B4697" i="14"/>
  <c r="B2911" i="14"/>
  <c r="C2063" i="14"/>
  <c r="C4870" i="14"/>
  <c r="B3653" i="14"/>
  <c r="C3145" i="14"/>
  <c r="C1793" i="14"/>
  <c r="B4610" i="14"/>
  <c r="B488" i="14"/>
  <c r="C4087" i="14"/>
  <c r="C803" i="14"/>
  <c r="C3171" i="14"/>
  <c r="B3392" i="14"/>
  <c r="C2859" i="14"/>
  <c r="B4262" i="14"/>
  <c r="B4175" i="14"/>
  <c r="C2243" i="14"/>
  <c r="B3145" i="14"/>
  <c r="B2963" i="14"/>
  <c r="C357" i="14"/>
  <c r="B3914" i="14"/>
  <c r="C229" i="14"/>
  <c r="C1163" i="14"/>
  <c r="B552" i="14"/>
  <c r="C3739" i="14"/>
  <c r="C549" i="14"/>
  <c r="B3067" i="14"/>
  <c r="C3391" i="14"/>
  <c r="B4958" i="14"/>
  <c r="C1973" i="14"/>
  <c r="B4784" i="14"/>
  <c r="C165" i="14"/>
  <c r="C101" i="14"/>
  <c r="C4957" i="14"/>
  <c r="C4348" i="14"/>
  <c r="C2423" i="14"/>
  <c r="C293" i="14"/>
  <c r="C2885" i="14"/>
  <c r="B38" i="14"/>
  <c r="C2153" i="14"/>
  <c r="B2535" i="14"/>
  <c r="C3565" i="14"/>
  <c r="C4609" i="14"/>
  <c r="B686" i="14"/>
  <c r="B622" i="14"/>
  <c r="C1703" i="14"/>
  <c r="B2833" i="14"/>
  <c r="C485" i="14"/>
  <c r="C2963" i="14"/>
  <c r="C4174" i="14"/>
  <c r="B3827" i="14"/>
  <c r="C3067" i="14"/>
  <c r="B4001" i="14"/>
  <c r="C4783" i="14"/>
  <c r="C3041" i="14"/>
  <c r="B3015" i="14"/>
  <c r="B4436" i="14"/>
  <c r="C3015" i="14"/>
  <c r="B3093" i="14"/>
  <c r="C4000" i="14"/>
  <c r="C3826" i="14"/>
  <c r="B3119" i="14"/>
  <c r="B3479" i="14"/>
  <c r="B4523" i="14"/>
  <c r="B3171" i="14"/>
  <c r="B2937" i="14"/>
  <c r="B168" i="14"/>
  <c r="B104" i="14"/>
  <c r="B3041" i="14"/>
  <c r="B2989" i="14"/>
  <c r="B3566" i="14"/>
  <c r="C3119" i="14"/>
  <c r="C3913" i="14"/>
  <c r="C2989" i="14"/>
  <c r="B4088" i="14"/>
  <c r="C4261" i="14"/>
  <c r="C3478" i="14"/>
  <c r="C3304" i="14"/>
  <c r="C3217" i="14"/>
  <c r="B2859" i="14"/>
  <c r="C1253" i="14"/>
  <c r="B2885" i="14"/>
  <c r="C4696" i="14"/>
  <c r="B296" i="14"/>
  <c r="C1523" i="14"/>
  <c r="B232" i="14"/>
  <c r="C1073" i="14"/>
  <c r="C983" i="14"/>
  <c r="C3093" i="14"/>
  <c r="C4435" i="14"/>
  <c r="C2911" i="14"/>
  <c r="C2937" i="14"/>
  <c r="C2833" i="14"/>
  <c r="B2442" i="14"/>
  <c r="C1883" i="14"/>
  <c r="C39" i="14"/>
  <c r="C4522" i="14"/>
  <c r="B3740" i="14"/>
  <c r="C2333" i="14"/>
  <c r="B360" i="14"/>
  <c r="C1613" i="14"/>
  <c r="B5045" i="14"/>
  <c r="C3652" i="14"/>
  <c r="B4349" i="14"/>
  <c r="B424" i="14"/>
  <c r="H2151" i="14" a="1"/>
  <c r="F3118" i="14"/>
  <c r="G3066" i="14"/>
  <c r="H3065" i="14" a="1"/>
  <c r="G1972" i="14"/>
  <c r="G3477" i="14"/>
  <c r="H1881" i="14" a="1"/>
  <c r="H1611" i="14" a="1"/>
  <c r="G712" i="14"/>
  <c r="F4783" i="14"/>
  <c r="H2935" i="14" a="1"/>
  <c r="G3171" i="14"/>
  <c r="G484" i="14"/>
  <c r="F3652" i="14"/>
  <c r="F4261" i="14"/>
  <c r="F2534" i="14"/>
  <c r="H3091" i="14" a="1"/>
  <c r="G1612" i="14"/>
  <c r="F2806" i="14"/>
  <c r="H4172" i="14" a="1"/>
  <c r="G4086" i="14"/>
  <c r="G3014" i="14"/>
  <c r="H1341" i="14" a="1"/>
  <c r="H4781" i="14" a="1"/>
  <c r="F4087" i="14"/>
  <c r="H1971" i="14" a="1"/>
  <c r="F4435" i="14"/>
  <c r="G1792" i="14"/>
  <c r="H801" i="14" a="1"/>
  <c r="G3390" i="14"/>
  <c r="G2806" i="14"/>
  <c r="G228" i="14"/>
  <c r="G1882" i="14"/>
  <c r="G3912" i="14"/>
  <c r="H4346" i="14" a="1"/>
  <c r="F4174" i="14"/>
  <c r="G3999" i="14"/>
  <c r="H4694" i="14" a="1"/>
  <c r="H711" i="14" a="1"/>
  <c r="H2061" i="14" a="1"/>
  <c r="G1252" i="14"/>
  <c r="H4085" i="14" a="1"/>
  <c r="G3564" i="14"/>
  <c r="H2805" i="14" a="1"/>
  <c r="H2241" i="14" a="1"/>
  <c r="G2936" i="14"/>
  <c r="G1702" i="14"/>
  <c r="G3040" i="14"/>
  <c r="H621" i="14" a="1"/>
  <c r="G549" i="14"/>
  <c r="G1522" i="14"/>
  <c r="H4607" i="14" a="1"/>
  <c r="H3737" i="14" a="1"/>
  <c r="F423" i="14"/>
  <c r="G4782" i="14"/>
  <c r="G2910" i="14"/>
  <c r="F3565" i="14"/>
  <c r="H3911" i="14" a="1"/>
  <c r="H1701" i="14" a="1"/>
  <c r="F3092" i="14"/>
  <c r="F2962" i="14"/>
  <c r="H291" i="14" a="1"/>
  <c r="F3478" i="14"/>
  <c r="H3039" i="14" a="1"/>
  <c r="H1521" i="14" a="1"/>
  <c r="G802" i="14"/>
  <c r="F4522" i="14"/>
  <c r="H3476" i="14" a="1"/>
  <c r="F2988" i="14"/>
  <c r="F3304" i="14"/>
  <c r="F2884" i="14"/>
  <c r="H2961" i="14" a="1"/>
  <c r="G420" i="14"/>
  <c r="H2331" i="14" a="1"/>
  <c r="H2987" i="14" a="1"/>
  <c r="H3013" i="14" a="1"/>
  <c r="G38" i="14"/>
  <c r="H1071" i="14" a="1"/>
  <c r="G2832" i="14"/>
  <c r="G2858" i="14"/>
  <c r="G1432" i="14"/>
  <c r="H3998" i="14" a="1"/>
  <c r="H3117" i="14" a="1"/>
  <c r="H2831" i="14" a="1"/>
  <c r="F552" i="14"/>
  <c r="H1251" i="14" a="1"/>
  <c r="H227" i="14" a="1"/>
  <c r="G2884" i="14"/>
  <c r="F5045" i="14"/>
  <c r="F2441" i="14"/>
  <c r="H355" i="14" a="1"/>
  <c r="H3563" i="14" a="1"/>
  <c r="H3824" i="14" a="1"/>
  <c r="H2883" i="14" a="1"/>
  <c r="G2152" i="14"/>
  <c r="F2832" i="14"/>
  <c r="H981" i="14" a="1"/>
  <c r="H3143" i="14" a="1"/>
  <c r="H2857" i="14" a="1"/>
  <c r="G2988" i="14"/>
  <c r="H1161" i="14" a="1"/>
  <c r="H3215" i="14" a="1"/>
  <c r="H99" i="14" a="1"/>
  <c r="H5043" i="14" a="1"/>
  <c r="G3216" i="14"/>
  <c r="F359" i="14"/>
  <c r="H1431" i="14" a="1"/>
  <c r="F103" i="14"/>
  <c r="H4868" i="14" a="1"/>
  <c r="G3651" i="14"/>
  <c r="G2332" i="14"/>
  <c r="H483" i="14" a="1"/>
  <c r="G292" i="14"/>
  <c r="H3650" i="14" a="1"/>
  <c r="F3913" i="14"/>
  <c r="F167" i="14"/>
  <c r="H37" i="14" a="1"/>
  <c r="H163" i="14" a="1"/>
  <c r="F3217" i="14"/>
  <c r="F3040" i="14"/>
  <c r="F487" i="14"/>
  <c r="H2512" i="14" a="1"/>
  <c r="F4870" i="14"/>
  <c r="G3118" i="14"/>
  <c r="H3389" i="14" a="1"/>
  <c r="F2858" i="14"/>
  <c r="F4609" i="14"/>
  <c r="G356" i="14"/>
  <c r="H4433" i="14" a="1"/>
  <c r="G2242" i="14"/>
  <c r="F295" i="14"/>
  <c r="G2062" i="14"/>
  <c r="H2421" i="14" a="1"/>
  <c r="F3066" i="14"/>
  <c r="H3302" i="14" a="1"/>
  <c r="G3092" i="14"/>
  <c r="F3171" i="14"/>
  <c r="H4955" i="14" a="1"/>
  <c r="G892" i="14"/>
  <c r="H419" i="14" a="1"/>
  <c r="G1342" i="14"/>
  <c r="H1791" i="14" a="1"/>
  <c r="F3144" i="14"/>
  <c r="G622" i="14"/>
  <c r="F2936" i="14"/>
  <c r="H891" i="14" a="1"/>
  <c r="F2910" i="14"/>
  <c r="F231" i="14"/>
  <c r="H4259" i="14" a="1"/>
  <c r="G1072" i="14"/>
  <c r="G4695" i="14"/>
  <c r="G982" i="14"/>
  <c r="H548" i="14" a="1"/>
  <c r="F3739" i="14"/>
  <c r="F3014" i="14"/>
  <c r="G5044" i="14"/>
  <c r="H2909" i="14" a="1"/>
  <c r="G4173" i="14"/>
  <c r="G4434" i="14"/>
  <c r="G4869" i="14"/>
  <c r="G164" i="14"/>
  <c r="H2779" i="14" a="1"/>
  <c r="F4696" i="14"/>
  <c r="F3391" i="14"/>
  <c r="G3303" i="14"/>
  <c r="F621" i="14"/>
  <c r="H4520" i="14" a="1"/>
  <c r="G4956" i="14"/>
  <c r="G100" i="14"/>
  <c r="G3144" i="14"/>
  <c r="F37" i="14"/>
  <c r="F4957" i="14"/>
  <c r="F3826" i="14"/>
  <c r="G2513" i="14"/>
  <c r="F686" i="14"/>
  <c r="G2962" i="14"/>
  <c r="G4347" i="14"/>
  <c r="F4000" i="14"/>
  <c r="G1162" i="14"/>
  <c r="G4608" i="14"/>
  <c r="H3170" i="14" a="1"/>
  <c r="G2422" i="14"/>
  <c r="G4521" i="14"/>
  <c r="G4260" i="14"/>
  <c r="F4348" i="14"/>
  <c r="G3738" i="14"/>
  <c r="G3825" i="14"/>
  <c r="H3013" i="14" l="1"/>
  <c r="H711" i="14"/>
  <c r="H3039" i="14"/>
  <c r="H2805" i="14"/>
  <c r="H1611" i="14"/>
  <c r="H621" i="14"/>
  <c r="H4781" i="14"/>
  <c r="H4694" i="14"/>
  <c r="H4955" i="14"/>
  <c r="H3302" i="14"/>
  <c r="H99" i="14"/>
  <c r="H548" i="14"/>
  <c r="H291" i="14"/>
  <c r="H4085" i="14"/>
  <c r="H2151" i="14"/>
  <c r="H1341" i="14"/>
  <c r="H2961" i="14"/>
  <c r="H4346" i="14"/>
  <c r="H3824" i="14"/>
  <c r="H4433" i="14"/>
  <c r="H1161" i="14"/>
  <c r="H891" i="14"/>
  <c r="H3170" i="14"/>
  <c r="H37" i="14"/>
  <c r="H4172" i="14"/>
  <c r="H3091" i="14"/>
  <c r="H3911" i="14"/>
  <c r="H3476" i="14"/>
  <c r="H355" i="14"/>
  <c r="H2512" i="14"/>
  <c r="H3143" i="14"/>
  <c r="H1431" i="14"/>
  <c r="H1521" i="14"/>
  <c r="H3650" i="14"/>
  <c r="H3117" i="14"/>
  <c r="H2935" i="14"/>
  <c r="H2779" i="14"/>
  <c r="H1971" i="14"/>
  <c r="H4520" i="14"/>
  <c r="H981" i="14"/>
  <c r="H1701" i="14"/>
  <c r="H5043" i="14"/>
  <c r="H4607" i="14"/>
  <c r="H483" i="14"/>
  <c r="H4259" i="14"/>
  <c r="H3065" i="14"/>
  <c r="H1071" i="14"/>
  <c r="H227" i="14"/>
  <c r="H3737" i="14"/>
  <c r="H2883" i="14"/>
  <c r="H2831" i="14"/>
  <c r="H3215" i="14"/>
  <c r="H3389" i="14"/>
  <c r="H4868" i="14"/>
  <c r="H1791" i="14"/>
  <c r="H2061" i="14"/>
  <c r="H1251" i="14"/>
  <c r="H2241" i="14"/>
  <c r="H2909" i="14"/>
  <c r="H3563" i="14"/>
  <c r="H801" i="14"/>
  <c r="H2857" i="14"/>
  <c r="H163" i="14"/>
  <c r="H419" i="14"/>
  <c r="H2987" i="14"/>
  <c r="H2331" i="14"/>
  <c r="H2421" i="14"/>
  <c r="H3998" i="14"/>
  <c r="H1881" i="14"/>
  <c r="B2912" i="14"/>
  <c r="B4524" i="14"/>
  <c r="C4958" i="14"/>
  <c r="B489" i="14"/>
  <c r="C1344" i="14"/>
  <c r="C984" i="14"/>
  <c r="C1614" i="14"/>
  <c r="B169" i="14"/>
  <c r="B105" i="14"/>
  <c r="C2964" i="14"/>
  <c r="C40" i="14"/>
  <c r="C1074" i="14"/>
  <c r="B2886" i="14"/>
  <c r="B4176" i="14"/>
  <c r="B3654" i="14"/>
  <c r="B3567" i="14"/>
  <c r="B3915" i="14"/>
  <c r="C3653" i="14"/>
  <c r="C5045" i="14"/>
  <c r="C294" i="14"/>
  <c r="B3172" i="14"/>
  <c r="C2886" i="14"/>
  <c r="C4175" i="14"/>
  <c r="B2938" i="14"/>
  <c r="C714" i="14"/>
  <c r="C624" i="14"/>
  <c r="C2990" i="14"/>
  <c r="C422" i="14"/>
  <c r="B4698" i="14"/>
  <c r="B3306" i="14"/>
  <c r="B3219" i="14"/>
  <c r="C1524" i="14"/>
  <c r="B4437" i="14"/>
  <c r="C2424" i="14"/>
  <c r="B2964" i="14"/>
  <c r="B3146" i="14"/>
  <c r="C3042" i="14"/>
  <c r="C4262" i="14"/>
  <c r="C1794" i="14"/>
  <c r="C2912" i="14"/>
  <c r="B5046" i="14"/>
  <c r="B553" i="14"/>
  <c r="B3828" i="14"/>
  <c r="C4523" i="14"/>
  <c r="C4610" i="14"/>
  <c r="C2860" i="14"/>
  <c r="C4001" i="14"/>
  <c r="B3068" i="14"/>
  <c r="C1254" i="14"/>
  <c r="B3393" i="14"/>
  <c r="C3120" i="14"/>
  <c r="C3146" i="14"/>
  <c r="B4611" i="14"/>
  <c r="C4088" i="14"/>
  <c r="C3094" i="14"/>
  <c r="B3094" i="14"/>
  <c r="C1884" i="14"/>
  <c r="B425" i="14"/>
  <c r="B361" i="14"/>
  <c r="C4349" i="14"/>
  <c r="B3120" i="14"/>
  <c r="C3068" i="14"/>
  <c r="B2860" i="14"/>
  <c r="B39" i="14"/>
  <c r="C4436" i="14"/>
  <c r="C2064" i="14"/>
  <c r="C3172" i="14"/>
  <c r="C1434" i="14"/>
  <c r="C3740" i="14"/>
  <c r="C1974" i="14"/>
  <c r="C2938" i="14"/>
  <c r="C1164" i="14"/>
  <c r="C4784" i="14"/>
  <c r="C3305" i="14"/>
  <c r="C3218" i="14"/>
  <c r="B3016" i="14"/>
  <c r="C4871" i="14"/>
  <c r="C3827" i="14"/>
  <c r="B4002" i="14"/>
  <c r="C2334" i="14"/>
  <c r="B3480" i="14"/>
  <c r="B3741" i="14"/>
  <c r="B4785" i="14"/>
  <c r="C804" i="14"/>
  <c r="C3566" i="14"/>
  <c r="C230" i="14"/>
  <c r="B3042" i="14"/>
  <c r="C2244" i="14"/>
  <c r="C2514" i="14"/>
  <c r="B4872" i="14"/>
  <c r="C894" i="14"/>
  <c r="C2154" i="14"/>
  <c r="B4959" i="14"/>
  <c r="C1704" i="14"/>
  <c r="C550" i="14"/>
  <c r="C4697" i="14"/>
  <c r="B2990" i="14"/>
  <c r="B4350" i="14"/>
  <c r="B233" i="14"/>
  <c r="B2443" i="14"/>
  <c r="B297" i="14"/>
  <c r="C3392" i="14"/>
  <c r="C3016" i="14"/>
  <c r="C3914" i="14"/>
  <c r="B4089" i="14"/>
  <c r="B687" i="14"/>
  <c r="B623" i="14"/>
  <c r="B2536" i="14"/>
  <c r="C358" i="14"/>
  <c r="C166" i="14"/>
  <c r="C102" i="14"/>
  <c r="C3479" i="14"/>
  <c r="B4263" i="14"/>
  <c r="C486" i="14"/>
  <c r="H4869" i="14" a="1"/>
  <c r="G1613" i="14"/>
  <c r="H292" i="14" a="1"/>
  <c r="F3653" i="14"/>
  <c r="G2989" i="14"/>
  <c r="G3119" i="14"/>
  <c r="H484" i="14" a="1"/>
  <c r="F5046" i="14"/>
  <c r="F3566" i="14"/>
  <c r="G623" i="14"/>
  <c r="H1792" i="14" a="1"/>
  <c r="G4000" i="14"/>
  <c r="F2937" i="14"/>
  <c r="F4610" i="14"/>
  <c r="G101" i="14"/>
  <c r="H2242" i="14" a="1"/>
  <c r="G2514" i="14"/>
  <c r="H2332" i="14" a="1"/>
  <c r="H2062" i="14" a="1"/>
  <c r="F4523" i="14"/>
  <c r="F4697" i="14"/>
  <c r="H1252" i="14" a="1"/>
  <c r="G4348" i="14"/>
  <c r="F687" i="14"/>
  <c r="G4261" i="14"/>
  <c r="H2422" i="14" a="1"/>
  <c r="G3217" i="14"/>
  <c r="F3305" i="14"/>
  <c r="G3041" i="14"/>
  <c r="G1883" i="14"/>
  <c r="G2911" i="14"/>
  <c r="H3738" i="14" a="1"/>
  <c r="F3218" i="14"/>
  <c r="G893" i="14"/>
  <c r="G3739" i="14"/>
  <c r="H3999" i="14" a="1"/>
  <c r="G229" i="14"/>
  <c r="H4956" i="14" a="1"/>
  <c r="H712" i="14" a="1"/>
  <c r="G421" i="14"/>
  <c r="H2962" i="14" a="1"/>
  <c r="H2806" i="14" a="1"/>
  <c r="H3216" i="14" a="1"/>
  <c r="H356" i="14" a="1"/>
  <c r="G3391" i="14"/>
  <c r="G4087" i="14"/>
  <c r="F360" i="14"/>
  <c r="H4521" i="14" a="1"/>
  <c r="F3479" i="14"/>
  <c r="G4609" i="14"/>
  <c r="G2937" i="14"/>
  <c r="H100" i="14" a="1"/>
  <c r="G1253" i="14"/>
  <c r="G713" i="14"/>
  <c r="G165" i="14"/>
  <c r="G2833" i="14"/>
  <c r="H3040" i="14" a="1"/>
  <c r="G3652" i="14"/>
  <c r="H3118" i="14" a="1"/>
  <c r="H2152" i="14" a="1"/>
  <c r="F3827" i="14"/>
  <c r="G3067" i="14"/>
  <c r="H228" i="14" a="1"/>
  <c r="G4174" i="14"/>
  <c r="F622" i="14"/>
  <c r="G1703" i="14"/>
  <c r="H3477" i="14" a="1"/>
  <c r="G5045" i="14"/>
  <c r="F3093" i="14"/>
  <c r="F296" i="14"/>
  <c r="G2963" i="14"/>
  <c r="H3092" i="14" a="1"/>
  <c r="H622" i="14" a="1"/>
  <c r="G3826" i="14"/>
  <c r="H5044" i="14" a="1"/>
  <c r="H3825" i="14" a="1"/>
  <c r="F553" i="14"/>
  <c r="F3015" i="14"/>
  <c r="H3303" i="14" a="1"/>
  <c r="G3093" i="14"/>
  <c r="F168" i="14"/>
  <c r="G3015" i="14"/>
  <c r="F4175" i="14"/>
  <c r="G1523" i="14"/>
  <c r="F2833" i="14"/>
  <c r="H2988" i="14" a="1"/>
  <c r="G2885" i="14"/>
  <c r="G4435" i="14"/>
  <c r="H1072" i="14" a="1"/>
  <c r="F104" i="14"/>
  <c r="F4262" i="14"/>
  <c r="F4436" i="14"/>
  <c r="F3145" i="14"/>
  <c r="F2911" i="14"/>
  <c r="F4871" i="14"/>
  <c r="F4784" i="14"/>
  <c r="G485" i="14"/>
  <c r="H982" i="14" a="1"/>
  <c r="F3740" i="14"/>
  <c r="F2963" i="14"/>
  <c r="H802" i="14" a="1"/>
  <c r="H3390" i="14" a="1"/>
  <c r="G1343" i="14"/>
  <c r="G1973" i="14"/>
  <c r="H420" i="14" a="1"/>
  <c r="H4173" i="14" a="1"/>
  <c r="G3478" i="14"/>
  <c r="F2859" i="14"/>
  <c r="H4434" i="14" a="1"/>
  <c r="F3172" i="14"/>
  <c r="G3172" i="14"/>
  <c r="H2884" i="14" a="1"/>
  <c r="H1342" i="14" a="1"/>
  <c r="H2513" i="14" a="1"/>
  <c r="G2063" i="14"/>
  <c r="G550" i="14"/>
  <c r="H1522" i="14" a="1"/>
  <c r="G4957" i="14"/>
  <c r="F4088" i="14"/>
  <c r="F232" i="14"/>
  <c r="H1162" i="14" a="1"/>
  <c r="H3014" i="14" a="1"/>
  <c r="H4086" i="14" a="1"/>
  <c r="F3067" i="14"/>
  <c r="G1793" i="14"/>
  <c r="H4260" i="14" a="1"/>
  <c r="G3145" i="14"/>
  <c r="H549" i="14" a="1"/>
  <c r="F3392" i="14"/>
  <c r="G1163" i="14"/>
  <c r="H892" i="14" a="1"/>
  <c r="G4870" i="14"/>
  <c r="F3914" i="14"/>
  <c r="G2423" i="14"/>
  <c r="H4782" i="14" a="1"/>
  <c r="H1432" i="14" a="1"/>
  <c r="H164" i="14" a="1"/>
  <c r="G4783" i="14"/>
  <c r="H1702" i="14" a="1"/>
  <c r="H2858" i="14" a="1"/>
  <c r="H3144" i="14" a="1"/>
  <c r="H2936" i="14" a="1"/>
  <c r="H38" i="14" a="1"/>
  <c r="H4695" i="14" a="1"/>
  <c r="F488" i="14"/>
  <c r="F4349" i="14"/>
  <c r="H4608" i="14" a="1"/>
  <c r="G357" i="14"/>
  <c r="G2859" i="14"/>
  <c r="G2153" i="14"/>
  <c r="H1972" i="14" a="1"/>
  <c r="G1073" i="14"/>
  <c r="F4001" i="14"/>
  <c r="G2243" i="14"/>
  <c r="G1433" i="14"/>
  <c r="H2832" i="14" a="1"/>
  <c r="H3066" i="14" a="1"/>
  <c r="G3913" i="14"/>
  <c r="G4522" i="14"/>
  <c r="F4958" i="14"/>
  <c r="H3171" i="14" a="1"/>
  <c r="G3565" i="14"/>
  <c r="H1612" i="14" a="1"/>
  <c r="G2333" i="14"/>
  <c r="H3651" i="14" a="1"/>
  <c r="H1882" i="14" a="1"/>
  <c r="F2989" i="14"/>
  <c r="G4696" i="14"/>
  <c r="G39" i="14"/>
  <c r="F2535" i="14"/>
  <c r="H3912" i="14" a="1"/>
  <c r="H2910" i="14" a="1"/>
  <c r="H4347" i="14" a="1"/>
  <c r="F38" i="14"/>
  <c r="G983" i="14"/>
  <c r="F3119" i="14"/>
  <c r="F3041" i="14"/>
  <c r="H3564" i="14" a="1"/>
  <c r="F2885" i="14"/>
  <c r="F2442" i="14"/>
  <c r="G803" i="14"/>
  <c r="F424" i="14"/>
  <c r="G3304" i="14"/>
  <c r="G293" i="14"/>
  <c r="H4782" i="14" l="1"/>
  <c r="H356" i="14"/>
  <c r="H4956" i="14"/>
  <c r="H4608" i="14"/>
  <c r="H3912" i="14"/>
  <c r="H4260" i="14"/>
  <c r="H3999" i="14"/>
  <c r="H2422" i="14"/>
  <c r="H549" i="14"/>
  <c r="H292" i="14"/>
  <c r="H4173" i="14"/>
  <c r="H1882" i="14"/>
  <c r="H2936" i="14"/>
  <c r="H1612" i="14"/>
  <c r="H3651" i="14"/>
  <c r="H1432" i="14"/>
  <c r="H4521" i="14"/>
  <c r="H3564" i="14"/>
  <c r="H38" i="14"/>
  <c r="H3171" i="14"/>
  <c r="H2988" i="14"/>
  <c r="H3092" i="14"/>
  <c r="H3390" i="14"/>
  <c r="H3477" i="14"/>
  <c r="H484" i="14"/>
  <c r="H2910" i="14"/>
  <c r="H1072" i="14"/>
  <c r="H5044" i="14"/>
  <c r="H622" i="14"/>
  <c r="H3118" i="14"/>
  <c r="H3144" i="14"/>
  <c r="H100" i="14"/>
  <c r="H712" i="14"/>
  <c r="H982" i="14"/>
  <c r="H3066" i="14"/>
  <c r="H228" i="14"/>
  <c r="H2152" i="14"/>
  <c r="H2332" i="14"/>
  <c r="H164" i="14"/>
  <c r="H1792" i="14"/>
  <c r="H4347" i="14"/>
  <c r="H1702" i="14"/>
  <c r="H3014" i="14"/>
  <c r="H1252" i="14"/>
  <c r="H2062" i="14"/>
  <c r="H2962" i="14"/>
  <c r="H892" i="14"/>
  <c r="H1522" i="14"/>
  <c r="H4695" i="14"/>
  <c r="H3825" i="14"/>
  <c r="H2806" i="14"/>
  <c r="H1162" i="14"/>
  <c r="H2832" i="14"/>
  <c r="H2884" i="14"/>
  <c r="H3040" i="14"/>
  <c r="H4434" i="14"/>
  <c r="H2858" i="14"/>
  <c r="H4086" i="14"/>
  <c r="H4869" i="14"/>
  <c r="H1342" i="14"/>
  <c r="H1972" i="14"/>
  <c r="H3738" i="14"/>
  <c r="H2242" i="14"/>
  <c r="H802" i="14"/>
  <c r="H3303" i="14"/>
  <c r="H3216" i="14"/>
  <c r="H2513" i="14"/>
  <c r="H420" i="14"/>
  <c r="B2991" i="14"/>
  <c r="C3741" i="14"/>
  <c r="C423" i="14"/>
  <c r="C4002" i="14"/>
  <c r="B2444" i="14"/>
  <c r="C2335" i="14"/>
  <c r="C895" i="14"/>
  <c r="C2425" i="14"/>
  <c r="B3043" i="14"/>
  <c r="C1525" i="14"/>
  <c r="B40" i="14"/>
  <c r="C4437" i="14"/>
  <c r="B3121" i="14"/>
  <c r="C3173" i="14"/>
  <c r="B3095" i="14"/>
  <c r="B3173" i="14"/>
  <c r="C1615" i="14"/>
  <c r="C41" i="14"/>
  <c r="B4351" i="14"/>
  <c r="C4785" i="14"/>
  <c r="C2245" i="14"/>
  <c r="C2965" i="14"/>
  <c r="B426" i="14"/>
  <c r="C3147" i="14"/>
  <c r="C4089" i="14"/>
  <c r="B3220" i="14"/>
  <c r="B3307" i="14"/>
  <c r="C3017" i="14"/>
  <c r="C1075" i="14"/>
  <c r="B4612" i="14"/>
  <c r="C3567" i="14"/>
  <c r="C3043" i="14"/>
  <c r="B4090" i="14"/>
  <c r="C3121" i="14"/>
  <c r="C1885" i="14"/>
  <c r="C715" i="14"/>
  <c r="C625" i="14"/>
  <c r="C2913" i="14"/>
  <c r="C2991" i="14"/>
  <c r="B4873" i="14"/>
  <c r="B490" i="14"/>
  <c r="C4176" i="14"/>
  <c r="C805" i="14"/>
  <c r="B4960" i="14"/>
  <c r="C3095" i="14"/>
  <c r="B554" i="14"/>
  <c r="C167" i="14"/>
  <c r="C103" i="14"/>
  <c r="C295" i="14"/>
  <c r="C3915" i="14"/>
  <c r="C4872" i="14"/>
  <c r="C1345" i="14"/>
  <c r="B2537" i="14"/>
  <c r="B298" i="14"/>
  <c r="C985" i="14"/>
  <c r="B3394" i="14"/>
  <c r="B4264" i="14"/>
  <c r="B2913" i="14"/>
  <c r="C1435" i="14"/>
  <c r="C1795" i="14"/>
  <c r="C2065" i="14"/>
  <c r="B3481" i="14"/>
  <c r="C4350" i="14"/>
  <c r="B4003" i="14"/>
  <c r="C3480" i="14"/>
  <c r="B3147" i="14"/>
  <c r="B362" i="14"/>
  <c r="C3828" i="14"/>
  <c r="C4524" i="14"/>
  <c r="C1975" i="14"/>
  <c r="B4699" i="14"/>
  <c r="C4698" i="14"/>
  <c r="C3069" i="14"/>
  <c r="B4525" i="14"/>
  <c r="B2965" i="14"/>
  <c r="C359" i="14"/>
  <c r="B3655" i="14"/>
  <c r="B2887" i="14"/>
  <c r="B3916" i="14"/>
  <c r="B2939" i="14"/>
  <c r="B688" i="14"/>
  <c r="B624" i="14"/>
  <c r="B3069" i="14"/>
  <c r="C3306" i="14"/>
  <c r="C3219" i="14"/>
  <c r="B170" i="14"/>
  <c r="B106" i="14"/>
  <c r="B4438" i="14"/>
  <c r="C3393" i="14"/>
  <c r="C2155" i="14"/>
  <c r="C2887" i="14"/>
  <c r="C2515" i="14"/>
  <c r="B4786" i="14"/>
  <c r="B234" i="14"/>
  <c r="B3829" i="14"/>
  <c r="C1165" i="14"/>
  <c r="C231" i="14"/>
  <c r="C551" i="14"/>
  <c r="B4177" i="14"/>
  <c r="B3017" i="14"/>
  <c r="B5047" i="14"/>
  <c r="C3654" i="14"/>
  <c r="B3568" i="14"/>
  <c r="C4959" i="14"/>
  <c r="C1255" i="14"/>
  <c r="C4611" i="14"/>
  <c r="C2939" i="14"/>
  <c r="C487" i="14"/>
  <c r="C4263" i="14"/>
  <c r="B3742" i="14"/>
  <c r="C1705" i="14"/>
  <c r="C5046" i="14"/>
  <c r="H4696" i="14" a="1"/>
  <c r="F4176" i="14"/>
  <c r="H3391" i="14" a="1"/>
  <c r="F3146" i="14"/>
  <c r="F3042" i="14"/>
  <c r="G230" i="14"/>
  <c r="H2989" i="14" a="1"/>
  <c r="G1884" i="14"/>
  <c r="G40" i="14"/>
  <c r="G3094" i="14"/>
  <c r="H3913" i="14" a="1"/>
  <c r="G2860" i="14"/>
  <c r="G1164" i="14"/>
  <c r="G1074" i="14"/>
  <c r="H2063" i="14" a="1"/>
  <c r="F3480" i="14"/>
  <c r="G551" i="14"/>
  <c r="H1253" i="14" a="1"/>
  <c r="H3145" i="14" a="1"/>
  <c r="F3567" i="14"/>
  <c r="G4262" i="14"/>
  <c r="H357" i="14" a="1"/>
  <c r="G2244" i="14"/>
  <c r="H1163" i="14" a="1"/>
  <c r="H165" i="14" a="1"/>
  <c r="F361" i="14"/>
  <c r="H101" i="14" a="1"/>
  <c r="H2514" i="14" a="1"/>
  <c r="H4522" i="14" a="1"/>
  <c r="G3068" i="14"/>
  <c r="G1524" i="14"/>
  <c r="G4958" i="14"/>
  <c r="G4175" i="14"/>
  <c r="G3479" i="14"/>
  <c r="F3393" i="14"/>
  <c r="H1793" i="14" a="1"/>
  <c r="H983" i="14" a="1"/>
  <c r="H623" i="14" a="1"/>
  <c r="H2911" i="14" a="1"/>
  <c r="H893" i="14" a="1"/>
  <c r="F3094" i="14"/>
  <c r="H2833" i="14" a="1"/>
  <c r="G2334" i="14"/>
  <c r="G5046" i="14"/>
  <c r="G3042" i="14"/>
  <c r="H4609" i="14" a="1"/>
  <c r="H229" i="14" a="1"/>
  <c r="H2153" i="14" a="1"/>
  <c r="F554" i="14"/>
  <c r="G2515" i="14"/>
  <c r="F2938" i="14"/>
  <c r="H293" i="14" a="1"/>
  <c r="H4435" i="14" a="1"/>
  <c r="G984" i="14"/>
  <c r="H4957" i="14" a="1"/>
  <c r="G1974" i="14"/>
  <c r="G4001" i="14"/>
  <c r="F2443" i="14"/>
  <c r="H3172" i="14" a="1"/>
  <c r="G3173" i="14"/>
  <c r="F3654" i="14"/>
  <c r="F3016" i="14"/>
  <c r="H485" i="14" a="1"/>
  <c r="G1344" i="14"/>
  <c r="H3041" i="14" a="1"/>
  <c r="F3219" i="14"/>
  <c r="H803" i="14" a="1"/>
  <c r="G1704" i="14"/>
  <c r="H3826" i="14" a="1"/>
  <c r="F2536" i="14"/>
  <c r="H2859" i="14" a="1"/>
  <c r="G4784" i="14"/>
  <c r="F169" i="14"/>
  <c r="H1343" i="14" a="1"/>
  <c r="F297" i="14"/>
  <c r="H713" i="14" a="1"/>
  <c r="F233" i="14"/>
  <c r="G3653" i="14"/>
  <c r="F4002" i="14"/>
  <c r="H2333" i="14" a="1"/>
  <c r="G4610" i="14"/>
  <c r="G3827" i="14"/>
  <c r="F2860" i="14"/>
  <c r="H2423" i="14" a="1"/>
  <c r="H3015" i="14" a="1"/>
  <c r="F623" i="14"/>
  <c r="G102" i="14"/>
  <c r="H1613" i="14" a="1"/>
  <c r="G3740" i="14"/>
  <c r="F3120" i="14"/>
  <c r="H550" i="14" a="1"/>
  <c r="H3478" i="14" a="1"/>
  <c r="G422" i="14"/>
  <c r="G2990" i="14"/>
  <c r="F3068" i="14"/>
  <c r="G2912" i="14"/>
  <c r="H1973" i="14" a="1"/>
  <c r="G3146" i="14"/>
  <c r="F4524" i="14"/>
  <c r="H1433" i="14" a="1"/>
  <c r="H4174" i="14" a="1"/>
  <c r="H3652" i="14" a="1"/>
  <c r="H5045" i="14" a="1"/>
  <c r="H421" i="14" a="1"/>
  <c r="F425" i="14"/>
  <c r="G4523" i="14"/>
  <c r="F4872" i="14"/>
  <c r="H1883" i="14" a="1"/>
  <c r="F3173" i="14"/>
  <c r="F3741" i="14"/>
  <c r="H4261" i="14" a="1"/>
  <c r="H4087" i="14" a="1"/>
  <c r="F39" i="14"/>
  <c r="H2937" i="14" a="1"/>
  <c r="G4088" i="14"/>
  <c r="F4959" i="14"/>
  <c r="F4263" i="14"/>
  <c r="G3120" i="14"/>
  <c r="H4783" i="14" a="1"/>
  <c r="H4000" i="14" a="1"/>
  <c r="H3304" i="14" a="1"/>
  <c r="H1073" i="14" a="1"/>
  <c r="G486" i="14"/>
  <c r="H3119" i="14" a="1"/>
  <c r="F4350" i="14"/>
  <c r="G3016" i="14"/>
  <c r="G2424" i="14"/>
  <c r="G4871" i="14"/>
  <c r="G2154" i="14"/>
  <c r="G2964" i="14"/>
  <c r="G2064" i="14"/>
  <c r="H2885" i="14" a="1"/>
  <c r="G2938" i="14"/>
  <c r="G1794" i="14"/>
  <c r="H3093" i="14" a="1"/>
  <c r="F3828" i="14"/>
  <c r="G4436" i="14"/>
  <c r="F4611" i="14"/>
  <c r="G624" i="14"/>
  <c r="H3565" i="14" a="1"/>
  <c r="G4349" i="14"/>
  <c r="F4698" i="14"/>
  <c r="H2243" i="14" a="1"/>
  <c r="G3218" i="14"/>
  <c r="G1614" i="14"/>
  <c r="H3067" i="14" a="1"/>
  <c r="F2990" i="14"/>
  <c r="F4089" i="14"/>
  <c r="F4785" i="14"/>
  <c r="G294" i="14"/>
  <c r="H39" i="14" a="1"/>
  <c r="F2964" i="14"/>
  <c r="G804" i="14"/>
  <c r="G1254" i="14"/>
  <c r="G3566" i="14"/>
  <c r="H1703" i="14" a="1"/>
  <c r="F688" i="14"/>
  <c r="H1523" i="14" a="1"/>
  <c r="G894" i="14"/>
  <c r="F105" i="14"/>
  <c r="F2886" i="14"/>
  <c r="F3306" i="14"/>
  <c r="G714" i="14"/>
  <c r="F489" i="14"/>
  <c r="G358" i="14"/>
  <c r="F4437" i="14"/>
  <c r="F3915" i="14"/>
  <c r="G1434" i="14"/>
  <c r="G3305" i="14"/>
  <c r="G4697" i="14"/>
  <c r="H2963" i="14" a="1"/>
  <c r="F2912" i="14"/>
  <c r="G166" i="14"/>
  <c r="H3217" i="14" a="1"/>
  <c r="G3914" i="14"/>
  <c r="G2886" i="14"/>
  <c r="G3392" i="14"/>
  <c r="H3739" i="14" a="1"/>
  <c r="F5047" i="14"/>
  <c r="H4870" i="14" a="1"/>
  <c r="H4348" i="14" a="1"/>
  <c r="H293" i="14" l="1"/>
  <c r="H623" i="14"/>
  <c r="H893" i="14"/>
  <c r="H2423" i="14"/>
  <c r="H2333" i="14"/>
  <c r="H5045" i="14"/>
  <c r="H550" i="14"/>
  <c r="H3304" i="14"/>
  <c r="H3217" i="14"/>
  <c r="H1253" i="14"/>
  <c r="H1973" i="14"/>
  <c r="H485" i="14"/>
  <c r="H3172" i="14"/>
  <c r="H3478" i="14"/>
  <c r="H2243" i="14"/>
  <c r="H4261" i="14"/>
  <c r="H4000" i="14"/>
  <c r="H4870" i="14"/>
  <c r="H3015" i="14"/>
  <c r="H3913" i="14"/>
  <c r="H2989" i="14"/>
  <c r="H713" i="14"/>
  <c r="H4435" i="14"/>
  <c r="H4174" i="14"/>
  <c r="H1793" i="14"/>
  <c r="H4609" i="14"/>
  <c r="H3041" i="14"/>
  <c r="H3739" i="14"/>
  <c r="H3093" i="14"/>
  <c r="H4957" i="14"/>
  <c r="H4696" i="14"/>
  <c r="H3067" i="14"/>
  <c r="H1433" i="14"/>
  <c r="H4783" i="14"/>
  <c r="H1883" i="14"/>
  <c r="H2963" i="14"/>
  <c r="H3119" i="14"/>
  <c r="H3391" i="14"/>
  <c r="H2885" i="14"/>
  <c r="H1343" i="14"/>
  <c r="H165" i="14"/>
  <c r="H1523" i="14"/>
  <c r="H4522" i="14"/>
  <c r="H2911" i="14"/>
  <c r="H2937" i="14"/>
  <c r="H2153" i="14"/>
  <c r="H1073" i="14"/>
  <c r="H357" i="14"/>
  <c r="H2859" i="14"/>
  <c r="H39" i="14"/>
  <c r="H1163" i="14"/>
  <c r="H1703" i="14"/>
  <c r="H421" i="14"/>
  <c r="H2833" i="14"/>
  <c r="H4087" i="14"/>
  <c r="H4348" i="14"/>
  <c r="H3145" i="14"/>
  <c r="H1613" i="14"/>
  <c r="H803" i="14"/>
  <c r="H2514" i="14"/>
  <c r="H101" i="14"/>
  <c r="H983" i="14"/>
  <c r="H3652" i="14"/>
  <c r="H229" i="14"/>
  <c r="H3565" i="14"/>
  <c r="H3826" i="14"/>
  <c r="H2063" i="14"/>
  <c r="C986" i="14"/>
  <c r="B4874" i="14"/>
  <c r="B2966" i="14"/>
  <c r="C3916" i="14"/>
  <c r="C168" i="14"/>
  <c r="C104" i="14"/>
  <c r="C2992" i="14"/>
  <c r="B3096" i="14"/>
  <c r="B2992" i="14"/>
  <c r="C4264" i="14"/>
  <c r="C2940" i="14"/>
  <c r="C2336" i="14"/>
  <c r="B2445" i="14"/>
  <c r="C552" i="14"/>
  <c r="C5047" i="14"/>
  <c r="B3044" i="14"/>
  <c r="C2066" i="14"/>
  <c r="B2940" i="14"/>
  <c r="B363" i="14"/>
  <c r="B4178" i="14"/>
  <c r="C1166" i="14"/>
  <c r="C4177" i="14"/>
  <c r="C1706" i="14"/>
  <c r="B3148" i="14"/>
  <c r="B3070" i="14"/>
  <c r="B3018" i="14"/>
  <c r="B3482" i="14"/>
  <c r="B3395" i="14"/>
  <c r="C424" i="14"/>
  <c r="C4786" i="14"/>
  <c r="C1886" i="14"/>
  <c r="C1436" i="14"/>
  <c r="C896" i="14"/>
  <c r="C1976" i="14"/>
  <c r="B3308" i="14"/>
  <c r="B3221" i="14"/>
  <c r="C3481" i="14"/>
  <c r="C3394" i="14"/>
  <c r="C3018" i="14"/>
  <c r="C3148" i="14"/>
  <c r="C42" i="14"/>
  <c r="C1256" i="14"/>
  <c r="B4526" i="14"/>
  <c r="B4004" i="14"/>
  <c r="B4787" i="14"/>
  <c r="C1526" i="14"/>
  <c r="B4700" i="14"/>
  <c r="B3917" i="14"/>
  <c r="B107" i="14"/>
  <c r="B171" i="14"/>
  <c r="B4613" i="14"/>
  <c r="C4003" i="14"/>
  <c r="C4873" i="14"/>
  <c r="C4090" i="14"/>
  <c r="C3742" i="14"/>
  <c r="B4961" i="14"/>
  <c r="B41" i="14"/>
  <c r="C488" i="14"/>
  <c r="C3307" i="14"/>
  <c r="C3220" i="14"/>
  <c r="B4091" i="14"/>
  <c r="C3655" i="14"/>
  <c r="C4351" i="14"/>
  <c r="C296" i="14"/>
  <c r="C232" i="14"/>
  <c r="C2426" i="14"/>
  <c r="C3829" i="14"/>
  <c r="C4438" i="14"/>
  <c r="C1076" i="14"/>
  <c r="C4960" i="14"/>
  <c r="B689" i="14"/>
  <c r="B625" i="14"/>
  <c r="B2914" i="14"/>
  <c r="B3174" i="14"/>
  <c r="B3569" i="14"/>
  <c r="C3122" i="14"/>
  <c r="B555" i="14"/>
  <c r="C626" i="14"/>
  <c r="C716" i="14"/>
  <c r="C1796" i="14"/>
  <c r="C2966" i="14"/>
  <c r="B3656" i="14"/>
  <c r="B4265" i="14"/>
  <c r="C2914" i="14"/>
  <c r="B235" i="14"/>
  <c r="B3743" i="14"/>
  <c r="B2538" i="14"/>
  <c r="C3044" i="14"/>
  <c r="C3174" i="14"/>
  <c r="C4525" i="14"/>
  <c r="C2516" i="14"/>
  <c r="C4699" i="14"/>
  <c r="B5048" i="14"/>
  <c r="C1346" i="14"/>
  <c r="B427" i="14"/>
  <c r="C1616" i="14"/>
  <c r="B3830" i="14"/>
  <c r="B299" i="14"/>
  <c r="C2246" i="14"/>
  <c r="C3096" i="14"/>
  <c r="C4612" i="14"/>
  <c r="C3568" i="14"/>
  <c r="C2156" i="14"/>
  <c r="B4352" i="14"/>
  <c r="C360" i="14"/>
  <c r="C806" i="14"/>
  <c r="C3070" i="14"/>
  <c r="B491" i="14"/>
  <c r="B4439" i="14"/>
  <c r="B3122" i="14"/>
  <c r="H3042" i="14" a="1"/>
  <c r="G4524" i="14"/>
  <c r="H894" i="14" a="1"/>
  <c r="H2424" i="14" a="1"/>
  <c r="F490" i="14"/>
  <c r="H3218" i="14" a="1"/>
  <c r="H3094" i="14" a="1"/>
  <c r="F2991" i="14"/>
  <c r="F2939" i="14"/>
  <c r="G3654" i="14"/>
  <c r="G2155" i="14"/>
  <c r="H2886" i="14" a="1"/>
  <c r="F426" i="14"/>
  <c r="F624" i="14"/>
  <c r="H3914" i="14" a="1"/>
  <c r="G4176" i="14"/>
  <c r="H4523" i="14" a="1"/>
  <c r="H4610" i="14" a="1"/>
  <c r="G1795" i="14"/>
  <c r="G1615" i="14"/>
  <c r="G3915" i="14"/>
  <c r="F298" i="14"/>
  <c r="H3566" i="14" a="1"/>
  <c r="G4785" i="14"/>
  <c r="G103" i="14"/>
  <c r="H2912" i="14" a="1"/>
  <c r="F40" i="14"/>
  <c r="H4436" i="14" a="1"/>
  <c r="H422" i="14" a="1"/>
  <c r="H624" i="14" a="1"/>
  <c r="G3828" i="14"/>
  <c r="G2965" i="14"/>
  <c r="H4349" i="14" a="1"/>
  <c r="H2938" i="14" a="1"/>
  <c r="H40" i="14" a="1"/>
  <c r="F3069" i="14"/>
  <c r="G4089" i="14"/>
  <c r="F4438" i="14"/>
  <c r="F3220" i="14"/>
  <c r="H3146" i="14" a="1"/>
  <c r="G2335" i="14"/>
  <c r="G3567" i="14"/>
  <c r="G2425" i="14"/>
  <c r="F3017" i="14"/>
  <c r="H4175" i="14" a="1"/>
  <c r="H551" i="14" a="1"/>
  <c r="G4350" i="14"/>
  <c r="G4611" i="14"/>
  <c r="H3016" i="14" a="1"/>
  <c r="H1884" i="14" a="1"/>
  <c r="H4871" i="14" a="1"/>
  <c r="G5047" i="14"/>
  <c r="H1074" i="14" a="1"/>
  <c r="H2154" i="14" a="1"/>
  <c r="H3827" i="14" a="1"/>
  <c r="F4786" i="14"/>
  <c r="F4177" i="14"/>
  <c r="G1075" i="14"/>
  <c r="F106" i="14"/>
  <c r="H166" i="14" a="1"/>
  <c r="H4088" i="14" a="1"/>
  <c r="F4612" i="14"/>
  <c r="G1345" i="14"/>
  <c r="H2244" i="14" a="1"/>
  <c r="G3017" i="14"/>
  <c r="G4872" i="14"/>
  <c r="H1344" i="14" a="1"/>
  <c r="H2515" i="14" a="1"/>
  <c r="F3481" i="14"/>
  <c r="F3916" i="14"/>
  <c r="F3829" i="14"/>
  <c r="G552" i="14"/>
  <c r="H3068" i="14" a="1"/>
  <c r="F3095" i="14"/>
  <c r="G167" i="14"/>
  <c r="H5046" i="14" a="1"/>
  <c r="H804" i="14" a="1"/>
  <c r="H2964" i="14" a="1"/>
  <c r="H102" i="14" a="1"/>
  <c r="G2065" i="14"/>
  <c r="F3174" i="14"/>
  <c r="F4873" i="14"/>
  <c r="G4437" i="14"/>
  <c r="H230" i="14" a="1"/>
  <c r="F4699" i="14"/>
  <c r="H1254" i="14" a="1"/>
  <c r="H2990" i="14" a="1"/>
  <c r="G231" i="14"/>
  <c r="G805" i="14"/>
  <c r="H3479" i="14" a="1"/>
  <c r="H4697" i="14" a="1"/>
  <c r="G1705" i="14"/>
  <c r="G3480" i="14"/>
  <c r="F2537" i="14"/>
  <c r="G715" i="14"/>
  <c r="H1434" i="14" a="1"/>
  <c r="G895" i="14"/>
  <c r="H3173" i="14" a="1"/>
  <c r="F4090" i="14"/>
  <c r="H1614" i="14" a="1"/>
  <c r="G3174" i="14"/>
  <c r="G487" i="14"/>
  <c r="G3147" i="14"/>
  <c r="G2991" i="14"/>
  <c r="H2334" i="14" a="1"/>
  <c r="F362" i="14"/>
  <c r="G1975" i="14"/>
  <c r="H1704" i="14" a="1"/>
  <c r="G295" i="14"/>
  <c r="G4002" i="14"/>
  <c r="F4525" i="14"/>
  <c r="H3740" i="14" a="1"/>
  <c r="G2887" i="14"/>
  <c r="F3655" i="14"/>
  <c r="G3069" i="14"/>
  <c r="G1525" i="14"/>
  <c r="G2245" i="14"/>
  <c r="F5048" i="14"/>
  <c r="H984" i="14" a="1"/>
  <c r="G4959" i="14"/>
  <c r="G3306" i="14"/>
  <c r="H1524" i="14" a="1"/>
  <c r="G625" i="14"/>
  <c r="G3121" i="14"/>
  <c r="H294" i="14" a="1"/>
  <c r="F2887" i="14"/>
  <c r="H4784" i="14" a="1"/>
  <c r="H3120" i="14" a="1"/>
  <c r="F3147" i="14"/>
  <c r="G1885" i="14"/>
  <c r="G423" i="14"/>
  <c r="F3121" i="14"/>
  <c r="H358" i="14" a="1"/>
  <c r="G2939" i="14"/>
  <c r="G3393" i="14"/>
  <c r="H4262" i="14" a="1"/>
  <c r="F2913" i="14"/>
  <c r="H3392" i="14" a="1"/>
  <c r="H4958" i="14" a="1"/>
  <c r="G1435" i="14"/>
  <c r="F3394" i="14"/>
  <c r="G3741" i="14"/>
  <c r="F4960" i="14"/>
  <c r="F3568" i="14"/>
  <c r="G2516" i="14"/>
  <c r="G1255" i="14"/>
  <c r="F4351" i="14"/>
  <c r="F234" i="14"/>
  <c r="H486" i="14" a="1"/>
  <c r="G41" i="14"/>
  <c r="F3307" i="14"/>
  <c r="F3742" i="14"/>
  <c r="H4001" i="14" a="1"/>
  <c r="G359" i="14"/>
  <c r="H3653" i="14" a="1"/>
  <c r="H2860" i="14" a="1"/>
  <c r="G4263" i="14"/>
  <c r="F170" i="14"/>
  <c r="F2444" i="14"/>
  <c r="H1794" i="14" a="1"/>
  <c r="F689" i="14"/>
  <c r="G3219" i="14"/>
  <c r="G1165" i="14"/>
  <c r="F555" i="14"/>
  <c r="F2965" i="14"/>
  <c r="G2913" i="14"/>
  <c r="F4003" i="14"/>
  <c r="G3095" i="14"/>
  <c r="G4698" i="14"/>
  <c r="G3043" i="14"/>
  <c r="G985" i="14"/>
  <c r="H714" i="14" a="1"/>
  <c r="H3305" i="14" a="1"/>
  <c r="F4264" i="14"/>
  <c r="H1974" i="14" a="1"/>
  <c r="H1164" i="14" a="1"/>
  <c r="H2064" i="14" a="1"/>
  <c r="F3043" i="14"/>
  <c r="H4436" i="14" l="1"/>
  <c r="H2424" i="14"/>
  <c r="H3042" i="14"/>
  <c r="H1074" i="14"/>
  <c r="H984" i="14"/>
  <c r="H5046" i="14"/>
  <c r="H1434" i="14"/>
  <c r="H1884" i="14"/>
  <c r="H166" i="14"/>
  <c r="H294" i="14"/>
  <c r="H1524" i="14"/>
  <c r="H1794" i="14"/>
  <c r="H804" i="14"/>
  <c r="H2938" i="14"/>
  <c r="H3068" i="14"/>
  <c r="H2860" i="14"/>
  <c r="H1254" i="14"/>
  <c r="H714" i="14"/>
  <c r="H2154" i="14"/>
  <c r="H4001" i="14"/>
  <c r="H551" i="14"/>
  <c r="H3914" i="14"/>
  <c r="H4349" i="14"/>
  <c r="H4697" i="14"/>
  <c r="H3479" i="14"/>
  <c r="H3016" i="14"/>
  <c r="H1704" i="14"/>
  <c r="H102" i="14"/>
  <c r="H1614" i="14"/>
  <c r="H4262" i="14"/>
  <c r="H2886" i="14"/>
  <c r="H2515" i="14"/>
  <c r="H1344" i="14"/>
  <c r="H3653" i="14"/>
  <c r="H3146" i="14"/>
  <c r="H40" i="14"/>
  <c r="H2964" i="14"/>
  <c r="H1164" i="14"/>
  <c r="H358" i="14"/>
  <c r="H624" i="14"/>
  <c r="H422" i="14"/>
  <c r="H2990" i="14"/>
  <c r="H230" i="14"/>
  <c r="H4610" i="14"/>
  <c r="H486" i="14"/>
  <c r="H3740" i="14"/>
  <c r="H1974" i="14"/>
  <c r="H3094" i="14"/>
  <c r="H3218" i="14"/>
  <c r="H2244" i="14"/>
  <c r="H4088" i="14"/>
  <c r="H4958" i="14"/>
  <c r="H4523" i="14"/>
  <c r="H4175" i="14"/>
  <c r="H4871" i="14"/>
  <c r="H3120" i="14"/>
  <c r="H4784" i="14"/>
  <c r="H2912" i="14"/>
  <c r="H3566" i="14"/>
  <c r="H2064" i="14"/>
  <c r="H3392" i="14"/>
  <c r="H3173" i="14"/>
  <c r="H2334" i="14"/>
  <c r="H3305" i="14"/>
  <c r="H3827" i="14"/>
  <c r="H894" i="14"/>
  <c r="B3918" i="14"/>
  <c r="C3019" i="14"/>
  <c r="B4962" i="14"/>
  <c r="C897" i="14"/>
  <c r="B364" i="14"/>
  <c r="C1437" i="14"/>
  <c r="B3744" i="14"/>
  <c r="C1167" i="14"/>
  <c r="B42" i="14"/>
  <c r="C4961" i="14"/>
  <c r="B3222" i="14"/>
  <c r="B3309" i="14"/>
  <c r="B3175" i="14"/>
  <c r="B4266" i="14"/>
  <c r="B3071" i="14"/>
  <c r="C2427" i="14"/>
  <c r="B2993" i="14"/>
  <c r="B3149" i="14"/>
  <c r="C3656" i="14"/>
  <c r="C4613" i="14"/>
  <c r="B3831" i="14"/>
  <c r="C297" i="14"/>
  <c r="B4179" i="14"/>
  <c r="B5049" i="14"/>
  <c r="C4091" i="14"/>
  <c r="B4005" i="14"/>
  <c r="B4092" i="14"/>
  <c r="C3175" i="14"/>
  <c r="B3396" i="14"/>
  <c r="C1977" i="14"/>
  <c r="B3570" i="14"/>
  <c r="B428" i="14"/>
  <c r="B4614" i="14"/>
  <c r="C425" i="14"/>
  <c r="B4440" i="14"/>
  <c r="C1707" i="14"/>
  <c r="C4787" i="14"/>
  <c r="C2941" i="14"/>
  <c r="C3830" i="14"/>
  <c r="B4701" i="14"/>
  <c r="C2067" i="14"/>
  <c r="C4874" i="14"/>
  <c r="B3045" i="14"/>
  <c r="C105" i="14"/>
  <c r="C169" i="14"/>
  <c r="C1077" i="14"/>
  <c r="C3071" i="14"/>
  <c r="C1887" i="14"/>
  <c r="B3657" i="14"/>
  <c r="C3917" i="14"/>
  <c r="B236" i="14"/>
  <c r="C1617" i="14"/>
  <c r="C1347" i="14"/>
  <c r="C3482" i="14"/>
  <c r="C1257" i="14"/>
  <c r="B3019" i="14"/>
  <c r="C233" i="14"/>
  <c r="B4527" i="14"/>
  <c r="C4700" i="14"/>
  <c r="B2941" i="14"/>
  <c r="C3221" i="14"/>
  <c r="C3308" i="14"/>
  <c r="C2993" i="14"/>
  <c r="B626" i="14"/>
  <c r="B690" i="14"/>
  <c r="C361" i="14"/>
  <c r="C3395" i="14"/>
  <c r="B556" i="14"/>
  <c r="C3123" i="14"/>
  <c r="C3149" i="14"/>
  <c r="C4265" i="14"/>
  <c r="C2337" i="14"/>
  <c r="B492" i="14"/>
  <c r="C807" i="14"/>
  <c r="C3743" i="14"/>
  <c r="C553" i="14"/>
  <c r="C4178" i="14"/>
  <c r="B172" i="14"/>
  <c r="B108" i="14"/>
  <c r="C987" i="14"/>
  <c r="C489" i="14"/>
  <c r="B3097" i="14"/>
  <c r="C2157" i="14"/>
  <c r="B2446" i="14"/>
  <c r="B300" i="14"/>
  <c r="C1797" i="14"/>
  <c r="C2967" i="14"/>
  <c r="C4526" i="14"/>
  <c r="B4788" i="14"/>
  <c r="C3045" i="14"/>
  <c r="C4352" i="14"/>
  <c r="C4439" i="14"/>
  <c r="B2967" i="14"/>
  <c r="C3097" i="14"/>
  <c r="C2247" i="14"/>
  <c r="B2539" i="14"/>
  <c r="B4353" i="14"/>
  <c r="C717" i="14"/>
  <c r="C627" i="14"/>
  <c r="C5048" i="14"/>
  <c r="C2517" i="14"/>
  <c r="B4875" i="14"/>
  <c r="C43" i="14"/>
  <c r="C3569" i="14"/>
  <c r="C1527" i="14"/>
  <c r="B3483" i="14"/>
  <c r="B3123" i="14"/>
  <c r="C4004" i="14"/>
  <c r="H552" i="14" a="1"/>
  <c r="H4263" i="14" a="1"/>
  <c r="F3148" i="14"/>
  <c r="G360" i="14"/>
  <c r="H3174" i="14" a="1"/>
  <c r="G2336" i="14"/>
  <c r="F4178" i="14"/>
  <c r="H3043" i="14" a="1"/>
  <c r="G3655" i="14"/>
  <c r="F4265" i="14"/>
  <c r="H4437" i="14" a="1"/>
  <c r="F625" i="14"/>
  <c r="H1885" i="14" a="1"/>
  <c r="G4873" i="14"/>
  <c r="H1255" i="14" a="1"/>
  <c r="H1525" i="14" a="1"/>
  <c r="G3175" i="14"/>
  <c r="G4786" i="14"/>
  <c r="H4176" i="14" a="1"/>
  <c r="G5048" i="14"/>
  <c r="G3096" i="14"/>
  <c r="G232" i="14"/>
  <c r="F171" i="14"/>
  <c r="H2065" i="14" a="1"/>
  <c r="H2245" i="14" a="1"/>
  <c r="G1886" i="14"/>
  <c r="G2914" i="14"/>
  <c r="F5049" i="14"/>
  <c r="H3306" i="14" a="1"/>
  <c r="G2246" i="14"/>
  <c r="G3916" i="14"/>
  <c r="H1165" i="14" a="1"/>
  <c r="F3096" i="14"/>
  <c r="H2155" i="14" a="1"/>
  <c r="G2940" i="14"/>
  <c r="H3121" i="14" a="1"/>
  <c r="F299" i="14"/>
  <c r="F3656" i="14"/>
  <c r="G1256" i="14"/>
  <c r="H3741" i="14" a="1"/>
  <c r="F491" i="14"/>
  <c r="G3394" i="14"/>
  <c r="H4872" i="14" a="1"/>
  <c r="H4959" i="14" a="1"/>
  <c r="F3395" i="14"/>
  <c r="G3122" i="14"/>
  <c r="F3018" i="14"/>
  <c r="H1975" i="14" a="1"/>
  <c r="G3481" i="14"/>
  <c r="H4089" i="14" a="1"/>
  <c r="H2516" i="14" a="1"/>
  <c r="H895" i="14" a="1"/>
  <c r="H3480" i="14" a="1"/>
  <c r="F3830" i="14"/>
  <c r="H715" i="14" a="1"/>
  <c r="F363" i="14"/>
  <c r="G3568" i="14"/>
  <c r="G1166" i="14"/>
  <c r="H3393" i="14" a="1"/>
  <c r="H4524" i="14" a="1"/>
  <c r="G4264" i="14"/>
  <c r="F4004" i="14"/>
  <c r="H4611" i="14" a="1"/>
  <c r="F3175" i="14"/>
  <c r="F2445" i="14"/>
  <c r="H487" i="14" a="1"/>
  <c r="G4177" i="14"/>
  <c r="G3220" i="14"/>
  <c r="H2887" i="14" a="1"/>
  <c r="G42" i="14"/>
  <c r="H3828" i="14" a="1"/>
  <c r="F427" i="14"/>
  <c r="H985" i="14" a="1"/>
  <c r="H2939" i="14" a="1"/>
  <c r="G1976" i="14"/>
  <c r="G2992" i="14"/>
  <c r="H3069" i="14" a="1"/>
  <c r="F3482" i="14"/>
  <c r="H359" i="14" a="1"/>
  <c r="F4874" i="14"/>
  <c r="H805" i="14" a="1"/>
  <c r="G488" i="14"/>
  <c r="G2966" i="14"/>
  <c r="G1616" i="14"/>
  <c r="G296" i="14"/>
  <c r="G3742" i="14"/>
  <c r="G3070" i="14"/>
  <c r="G4960" i="14"/>
  <c r="F3044" i="14"/>
  <c r="G806" i="14"/>
  <c r="G2066" i="14"/>
  <c r="H5047" i="14" a="1"/>
  <c r="F4439" i="14"/>
  <c r="G2426" i="14"/>
  <c r="G896" i="14"/>
  <c r="G4699" i="14"/>
  <c r="H3219" i="14" a="1"/>
  <c r="G1796" i="14"/>
  <c r="F3070" i="14"/>
  <c r="G4525" i="14"/>
  <c r="H1795" i="14" a="1"/>
  <c r="F4526" i="14"/>
  <c r="H295" i="14" a="1"/>
  <c r="H4350" i="14" a="1"/>
  <c r="H1705" i="14" a="1"/>
  <c r="F3743" i="14"/>
  <c r="F3917" i="14"/>
  <c r="F107" i="14"/>
  <c r="H3147" i="14" a="1"/>
  <c r="G3044" i="14"/>
  <c r="H423" i="14" a="1"/>
  <c r="G626" i="14"/>
  <c r="F2966" i="14"/>
  <c r="G4351" i="14"/>
  <c r="H2913" i="14" a="1"/>
  <c r="H2425" i="14" a="1"/>
  <c r="H3095" i="14" a="1"/>
  <c r="H4002" i="14" a="1"/>
  <c r="F2940" i="14"/>
  <c r="G1346" i="14"/>
  <c r="H103" i="14" a="1"/>
  <c r="G3307" i="14"/>
  <c r="G553" i="14"/>
  <c r="H3017" i="14" a="1"/>
  <c r="F3221" i="14"/>
  <c r="H231" i="14" a="1"/>
  <c r="F3308" i="14"/>
  <c r="F2538" i="14"/>
  <c r="G4612" i="14"/>
  <c r="G1436" i="14"/>
  <c r="F3569" i="14"/>
  <c r="H3915" i="14" a="1"/>
  <c r="G2156" i="14"/>
  <c r="G1526" i="14"/>
  <c r="H1435" i="14" a="1"/>
  <c r="F2914" i="14"/>
  <c r="G1076" i="14"/>
  <c r="G1706" i="14"/>
  <c r="H625" i="14" a="1"/>
  <c r="F41" i="14"/>
  <c r="H2335" i="14" a="1"/>
  <c r="H167" i="14" a="1"/>
  <c r="H4785" i="14" a="1"/>
  <c r="F2992" i="14"/>
  <c r="F235" i="14"/>
  <c r="H3654" i="14" a="1"/>
  <c r="H2965" i="14" a="1"/>
  <c r="F3122" i="14"/>
  <c r="F4352" i="14"/>
  <c r="H1075" i="14" a="1"/>
  <c r="H41" i="14" a="1"/>
  <c r="G4003" i="14"/>
  <c r="F690" i="14"/>
  <c r="H1345" i="14" a="1"/>
  <c r="G716" i="14"/>
  <c r="F4787" i="14"/>
  <c r="H4698" i="14" a="1"/>
  <c r="F4613" i="14"/>
  <c r="G3148" i="14"/>
  <c r="G2517" i="14"/>
  <c r="H3567" i="14" a="1"/>
  <c r="G3829" i="14"/>
  <c r="G4090" i="14"/>
  <c r="H2991" i="14" a="1"/>
  <c r="G104" i="14"/>
  <c r="F4091" i="14"/>
  <c r="H1615" i="14" a="1"/>
  <c r="G168" i="14"/>
  <c r="F556" i="14"/>
  <c r="F4961" i="14"/>
  <c r="F4700" i="14"/>
  <c r="G4438" i="14"/>
  <c r="G3018" i="14"/>
  <c r="G424" i="14"/>
  <c r="G986" i="14"/>
  <c r="H3567" i="14" l="1"/>
  <c r="H3828" i="14"/>
  <c r="H2887" i="14"/>
  <c r="H167" i="14"/>
  <c r="H1165" i="14"/>
  <c r="H4089" i="14"/>
  <c r="H5047" i="14"/>
  <c r="H1435" i="14"/>
  <c r="H3219" i="14"/>
  <c r="H1885" i="14"/>
  <c r="H4437" i="14"/>
  <c r="H3017" i="14"/>
  <c r="H41" i="14"/>
  <c r="H1705" i="14"/>
  <c r="H359" i="14"/>
  <c r="H3069" i="14"/>
  <c r="H3654" i="14"/>
  <c r="H985" i="14"/>
  <c r="H3480" i="14"/>
  <c r="H487" i="14"/>
  <c r="H2335" i="14"/>
  <c r="H4698" i="14"/>
  <c r="H805" i="14"/>
  <c r="H4176" i="14"/>
  <c r="H3915" i="14"/>
  <c r="H1255" i="14"/>
  <c r="H4959" i="14"/>
  <c r="H3043" i="14"/>
  <c r="H103" i="14"/>
  <c r="H1075" i="14"/>
  <c r="H3095" i="14"/>
  <c r="H2425" i="14"/>
  <c r="H2939" i="14"/>
  <c r="H2913" i="14"/>
  <c r="H2155" i="14"/>
  <c r="H895" i="14"/>
  <c r="H4611" i="14"/>
  <c r="H625" i="14"/>
  <c r="H3393" i="14"/>
  <c r="H1975" i="14"/>
  <c r="H1525" i="14"/>
  <c r="H1615" i="14"/>
  <c r="H2245" i="14"/>
  <c r="H4872" i="14"/>
  <c r="H3174" i="14"/>
  <c r="H4002" i="14"/>
  <c r="H552" i="14"/>
  <c r="H4350" i="14"/>
  <c r="H715" i="14"/>
  <c r="H295" i="14"/>
  <c r="H4785" i="14"/>
  <c r="H1795" i="14"/>
  <c r="H2516" i="14"/>
  <c r="H4524" i="14"/>
  <c r="H423" i="14"/>
  <c r="H3306" i="14"/>
  <c r="H3147" i="14"/>
  <c r="H1345" i="14"/>
  <c r="H231" i="14"/>
  <c r="H2065" i="14"/>
  <c r="H2991" i="14"/>
  <c r="H4263" i="14"/>
  <c r="H3741" i="14"/>
  <c r="H2965" i="14"/>
  <c r="H3121" i="14"/>
  <c r="C1258" i="14"/>
  <c r="C1888" i="14"/>
  <c r="C1978" i="14"/>
  <c r="B4789" i="14"/>
  <c r="C1798" i="14"/>
  <c r="B493" i="14"/>
  <c r="C4701" i="14"/>
  <c r="B557" i="14"/>
  <c r="C3150" i="14"/>
  <c r="C1708" i="14"/>
  <c r="C3744" i="14"/>
  <c r="B3098" i="14"/>
  <c r="B2540" i="14"/>
  <c r="C4527" i="14"/>
  <c r="C1078" i="14"/>
  <c r="C2428" i="14"/>
  <c r="C3020" i="14"/>
  <c r="C4788" i="14"/>
  <c r="C1348" i="14"/>
  <c r="B301" i="14"/>
  <c r="C490" i="14"/>
  <c r="C362" i="14"/>
  <c r="B3176" i="14"/>
  <c r="C5049" i="14"/>
  <c r="C3046" i="14"/>
  <c r="B3150" i="14"/>
  <c r="B237" i="14"/>
  <c r="C3176" i="14"/>
  <c r="C170" i="14"/>
  <c r="C106" i="14"/>
  <c r="C2518" i="14"/>
  <c r="C988" i="14"/>
  <c r="C808" i="14"/>
  <c r="B3124" i="14"/>
  <c r="B3223" i="14"/>
  <c r="B3310" i="14"/>
  <c r="C554" i="14"/>
  <c r="B2968" i="14"/>
  <c r="C1618" i="14"/>
  <c r="B2994" i="14"/>
  <c r="B365" i="14"/>
  <c r="B691" i="14"/>
  <c r="B627" i="14"/>
  <c r="C3657" i="14"/>
  <c r="C3831" i="14"/>
  <c r="C3483" i="14"/>
  <c r="C4005" i="14"/>
  <c r="C1168" i="14"/>
  <c r="C2968" i="14"/>
  <c r="C2068" i="14"/>
  <c r="B4093" i="14"/>
  <c r="B4354" i="14"/>
  <c r="B43" i="14"/>
  <c r="C3124" i="14"/>
  <c r="B3571" i="14"/>
  <c r="C3072" i="14"/>
  <c r="B3832" i="14"/>
  <c r="B5050" i="14"/>
  <c r="B4963" i="14"/>
  <c r="B4441" i="14"/>
  <c r="B3046" i="14"/>
  <c r="B3072" i="14"/>
  <c r="B4528" i="14"/>
  <c r="B4876" i="14"/>
  <c r="C3098" i="14"/>
  <c r="B4180" i="14"/>
  <c r="C1528" i="14"/>
  <c r="C4092" i="14"/>
  <c r="C4614" i="14"/>
  <c r="B2447" i="14"/>
  <c r="B4615" i="14"/>
  <c r="C4962" i="14"/>
  <c r="C4440" i="14"/>
  <c r="C2248" i="14"/>
  <c r="C4353" i="14"/>
  <c r="C3396" i="14"/>
  <c r="C3570" i="14"/>
  <c r="B3484" i="14"/>
  <c r="C4179" i="14"/>
  <c r="B3919" i="14"/>
  <c r="B429" i="14"/>
  <c r="B4006" i="14"/>
  <c r="C628" i="14"/>
  <c r="C718" i="14"/>
  <c r="C898" i="14"/>
  <c r="B3745" i="14"/>
  <c r="B3397" i="14"/>
  <c r="C4266" i="14"/>
  <c r="C3918" i="14"/>
  <c r="B3658" i="14"/>
  <c r="B4267" i="14"/>
  <c r="C44" i="14"/>
  <c r="C2338" i="14"/>
  <c r="C2994" i="14"/>
  <c r="B173" i="14"/>
  <c r="B109" i="14"/>
  <c r="C426" i="14"/>
  <c r="C3222" i="14"/>
  <c r="C3309" i="14"/>
  <c r="C298" i="14"/>
  <c r="C1438" i="14"/>
  <c r="C234" i="14"/>
  <c r="C2158" i="14"/>
  <c r="C4875" i="14"/>
  <c r="B4702" i="14"/>
  <c r="B3020" i="14"/>
  <c r="H360" i="14" a="1"/>
  <c r="G897" i="14"/>
  <c r="G1797" i="14"/>
  <c r="F300" i="14"/>
  <c r="H4351" i="14" a="1"/>
  <c r="F42" i="14"/>
  <c r="F172" i="14"/>
  <c r="F2967" i="14"/>
  <c r="F4875" i="14"/>
  <c r="H4438" i="14" a="1"/>
  <c r="G3830" i="14"/>
  <c r="F3483" i="14"/>
  <c r="F4701" i="14"/>
  <c r="H2966" i="14" a="1"/>
  <c r="H4873" i="14" a="1"/>
  <c r="G4178" i="14"/>
  <c r="H232" i="14" a="1"/>
  <c r="G297" i="14"/>
  <c r="H2156" i="14" a="1"/>
  <c r="G717" i="14"/>
  <c r="G4874" i="14"/>
  <c r="F3019" i="14"/>
  <c r="H3070" i="14" a="1"/>
  <c r="F3123" i="14"/>
  <c r="H1616" i="14" a="1"/>
  <c r="G3071" i="14"/>
  <c r="H3122" i="14" a="1"/>
  <c r="G3482" i="14"/>
  <c r="H1886" i="14" a="1"/>
  <c r="G3176" i="14"/>
  <c r="H806" i="14" a="1"/>
  <c r="G1167" i="14"/>
  <c r="F492" i="14"/>
  <c r="H626" i="14" a="1"/>
  <c r="F3071" i="14"/>
  <c r="G1437" i="14"/>
  <c r="H4177" i="14" a="1"/>
  <c r="F3222" i="14"/>
  <c r="G4961" i="14"/>
  <c r="H2426" i="14" a="1"/>
  <c r="G233" i="14"/>
  <c r="G3045" i="14"/>
  <c r="H896" i="14" a="1"/>
  <c r="H3916" i="14" a="1"/>
  <c r="H104" i="14" a="1"/>
  <c r="H3044" i="14" a="1"/>
  <c r="G807" i="14"/>
  <c r="H3481" i="14" a="1"/>
  <c r="G3097" i="14"/>
  <c r="F4440" i="14"/>
  <c r="G4439" i="14"/>
  <c r="H4525" i="14" a="1"/>
  <c r="H1436" i="14" a="1"/>
  <c r="H4003" i="14" a="1"/>
  <c r="H1256" i="14" a="1"/>
  <c r="F626" i="14"/>
  <c r="G554" i="14"/>
  <c r="G1617" i="14"/>
  <c r="H3829" i="14" a="1"/>
  <c r="G3917" i="14"/>
  <c r="G361" i="14"/>
  <c r="G987" i="14"/>
  <c r="G489" i="14"/>
  <c r="H553" i="14" a="1"/>
  <c r="F4614" i="14"/>
  <c r="G3149" i="14"/>
  <c r="F2993" i="14"/>
  <c r="H296" i="14" a="1"/>
  <c r="H3175" i="14" a="1"/>
  <c r="G1527" i="14"/>
  <c r="H1976" i="14" a="1"/>
  <c r="F4527" i="14"/>
  <c r="H2336" i="14" a="1"/>
  <c r="F3918" i="14"/>
  <c r="G4352" i="14"/>
  <c r="F2941" i="14"/>
  <c r="G1347" i="14"/>
  <c r="H3742" i="14" a="1"/>
  <c r="G4613" i="14"/>
  <c r="G2067" i="14"/>
  <c r="H3096" i="14" a="1"/>
  <c r="H424" i="14" a="1"/>
  <c r="H3220" i="14" a="1"/>
  <c r="G2157" i="14"/>
  <c r="G3743" i="14"/>
  <c r="G3123" i="14"/>
  <c r="F3309" i="14"/>
  <c r="G3221" i="14"/>
  <c r="H986" i="14" a="1"/>
  <c r="F557" i="14"/>
  <c r="H3307" i="14" a="1"/>
  <c r="H4264" i="14" a="1"/>
  <c r="H4699" i="14" a="1"/>
  <c r="F3045" i="14"/>
  <c r="G4004" i="14"/>
  <c r="G3308" i="14"/>
  <c r="F364" i="14"/>
  <c r="G1977" i="14"/>
  <c r="H1706" i="14" a="1"/>
  <c r="G1707" i="14"/>
  <c r="G1887" i="14"/>
  <c r="F236" i="14"/>
  <c r="G3019" i="14"/>
  <c r="H1796" i="14" a="1"/>
  <c r="F3744" i="14"/>
  <c r="G425" i="14"/>
  <c r="F5050" i="14"/>
  <c r="G2941" i="14"/>
  <c r="F4788" i="14"/>
  <c r="G627" i="14"/>
  <c r="H3394" i="14" a="1"/>
  <c r="H4960" i="14" a="1"/>
  <c r="F3831" i="14"/>
  <c r="G4091" i="14"/>
  <c r="H4786" i="14" a="1"/>
  <c r="G43" i="14"/>
  <c r="H2914" i="14" a="1"/>
  <c r="F3176" i="14"/>
  <c r="H5048" i="14" a="1"/>
  <c r="F108" i="14"/>
  <c r="F4005" i="14"/>
  <c r="F428" i="14"/>
  <c r="G3656" i="14"/>
  <c r="H3655" i="14" a="1"/>
  <c r="G5049" i="14"/>
  <c r="G2967" i="14"/>
  <c r="G4700" i="14"/>
  <c r="G1077" i="14"/>
  <c r="H488" i="14" a="1"/>
  <c r="H1166" i="14" a="1"/>
  <c r="G105" i="14"/>
  <c r="F4353" i="14"/>
  <c r="H3018" i="14" a="1"/>
  <c r="G2427" i="14"/>
  <c r="G4526" i="14"/>
  <c r="H168" i="14" a="1"/>
  <c r="H4612" i="14" a="1"/>
  <c r="F691" i="14"/>
  <c r="F3149" i="14"/>
  <c r="F4266" i="14"/>
  <c r="F3657" i="14"/>
  <c r="G3395" i="14"/>
  <c r="H716" i="14" a="1"/>
  <c r="H42" i="14" a="1"/>
  <c r="H2517" i="14" a="1"/>
  <c r="G2337" i="14"/>
  <c r="H3148" i="14" a="1"/>
  <c r="F2539" i="14"/>
  <c r="F4179" i="14"/>
  <c r="F3570" i="14"/>
  <c r="H1076" i="14" a="1"/>
  <c r="H3568" i="14" a="1"/>
  <c r="G1257" i="14"/>
  <c r="G3569" i="14"/>
  <c r="H2992" i="14" a="1"/>
  <c r="G169" i="14"/>
  <c r="H2940" i="14" a="1"/>
  <c r="F4962" i="14"/>
  <c r="H2246" i="14" a="1"/>
  <c r="H1346" i="14" a="1"/>
  <c r="G2993" i="14"/>
  <c r="H2066" i="14" a="1"/>
  <c r="H1526" i="14" a="1"/>
  <c r="H4090" i="14" a="1"/>
  <c r="G2518" i="14"/>
  <c r="F3097" i="14"/>
  <c r="F4092" i="14"/>
  <c r="F3396" i="14"/>
  <c r="G4787" i="14"/>
  <c r="G4265" i="14"/>
  <c r="F2446" i="14"/>
  <c r="G2247" i="14"/>
  <c r="H1076" i="14" l="1"/>
  <c r="H5048" i="14"/>
  <c r="H4786" i="14"/>
  <c r="H4003" i="14"/>
  <c r="H1976" i="14"/>
  <c r="H2246" i="14"/>
  <c r="H1796" i="14"/>
  <c r="H296" i="14"/>
  <c r="H3096" i="14"/>
  <c r="H3829" i="14"/>
  <c r="H1256" i="14"/>
  <c r="H104" i="14"/>
  <c r="H232" i="14"/>
  <c r="H1616" i="14"/>
  <c r="H4264" i="14"/>
  <c r="H3070" i="14"/>
  <c r="H3655" i="14"/>
  <c r="H4351" i="14"/>
  <c r="H360" i="14"/>
  <c r="H1346" i="14"/>
  <c r="H1436" i="14"/>
  <c r="H3220" i="14"/>
  <c r="H4612" i="14"/>
  <c r="H2426" i="14"/>
  <c r="H553" i="14"/>
  <c r="H3481" i="14"/>
  <c r="H3044" i="14"/>
  <c r="H3122" i="14"/>
  <c r="H3916" i="14"/>
  <c r="H488" i="14"/>
  <c r="H716" i="14"/>
  <c r="H2966" i="14"/>
  <c r="H4438" i="14"/>
  <c r="H2066" i="14"/>
  <c r="H4177" i="14"/>
  <c r="H2517" i="14"/>
  <c r="H626" i="14"/>
  <c r="H3175" i="14"/>
  <c r="H2940" i="14"/>
  <c r="H4960" i="14"/>
  <c r="H3394" i="14"/>
  <c r="H1886" i="14"/>
  <c r="H2992" i="14"/>
  <c r="H3018" i="14"/>
  <c r="H4699" i="14"/>
  <c r="H4873" i="14"/>
  <c r="H424" i="14"/>
  <c r="H4090" i="14"/>
  <c r="H1526" i="14"/>
  <c r="H986" i="14"/>
  <c r="H3148" i="14"/>
  <c r="H2336" i="14"/>
  <c r="H42" i="14"/>
  <c r="H4525" i="14"/>
  <c r="H3307" i="14"/>
  <c r="H1706" i="14"/>
  <c r="H806" i="14"/>
  <c r="H3742" i="14"/>
  <c r="H168" i="14"/>
  <c r="H2156" i="14"/>
  <c r="H1166" i="14"/>
  <c r="H896" i="14"/>
  <c r="H2914" i="14"/>
  <c r="H3568" i="14"/>
  <c r="B494" i="14"/>
  <c r="C3658" i="14"/>
  <c r="C4702" i="14"/>
  <c r="C3125" i="14"/>
  <c r="B3398" i="14"/>
  <c r="C2249" i="14"/>
  <c r="C3397" i="14"/>
  <c r="B3746" i="14"/>
  <c r="B4094" i="14"/>
  <c r="C2339" i="14"/>
  <c r="B2448" i="14"/>
  <c r="C3151" i="14"/>
  <c r="C2159" i="14"/>
  <c r="C899" i="14"/>
  <c r="C3223" i="14"/>
  <c r="C3310" i="14"/>
  <c r="C3021" i="14"/>
  <c r="B3833" i="14"/>
  <c r="C4528" i="14"/>
  <c r="B3920" i="14"/>
  <c r="B44" i="14"/>
  <c r="C2995" i="14"/>
  <c r="C3919" i="14"/>
  <c r="B430" i="14"/>
  <c r="C1079" i="14"/>
  <c r="B366" i="14"/>
  <c r="C2519" i="14"/>
  <c r="B3125" i="14"/>
  <c r="B4877" i="14"/>
  <c r="B3073" i="14"/>
  <c r="C1169" i="14"/>
  <c r="C5050" i="14"/>
  <c r="B3021" i="14"/>
  <c r="C2069" i="14"/>
  <c r="C45" i="14"/>
  <c r="B4442" i="14"/>
  <c r="C427" i="14"/>
  <c r="C4876" i="14"/>
  <c r="C4615" i="14"/>
  <c r="C1529" i="14"/>
  <c r="C4354" i="14"/>
  <c r="C809" i="14"/>
  <c r="C4441" i="14"/>
  <c r="B4616" i="14"/>
  <c r="C1709" i="14"/>
  <c r="C171" i="14"/>
  <c r="C107" i="14"/>
  <c r="B3177" i="14"/>
  <c r="C1799" i="14"/>
  <c r="B558" i="14"/>
  <c r="B3047" i="14"/>
  <c r="C491" i="14"/>
  <c r="C3484" i="14"/>
  <c r="B302" i="14"/>
  <c r="B4007" i="14"/>
  <c r="C1979" i="14"/>
  <c r="C363" i="14"/>
  <c r="B174" i="14"/>
  <c r="B110" i="14"/>
  <c r="B4355" i="14"/>
  <c r="B3485" i="14"/>
  <c r="C719" i="14"/>
  <c r="C629" i="14"/>
  <c r="C4267" i="14"/>
  <c r="B4703" i="14"/>
  <c r="C1619" i="14"/>
  <c r="B5051" i="14"/>
  <c r="B3659" i="14"/>
  <c r="B4181" i="14"/>
  <c r="C4093" i="14"/>
  <c r="B692" i="14"/>
  <c r="B628" i="14"/>
  <c r="B2995" i="14"/>
  <c r="B3151" i="14"/>
  <c r="C235" i="14"/>
  <c r="C555" i="14"/>
  <c r="B2541" i="14"/>
  <c r="C1349" i="14"/>
  <c r="C299" i="14"/>
  <c r="C989" i="14"/>
  <c r="C1439" i="14"/>
  <c r="C4789" i="14"/>
  <c r="C2429" i="14"/>
  <c r="C4006" i="14"/>
  <c r="B4964" i="14"/>
  <c r="B4529" i="14"/>
  <c r="C3099" i="14"/>
  <c r="C3745" i="14"/>
  <c r="C3832" i="14"/>
  <c r="B4790" i="14"/>
  <c r="C4180" i="14"/>
  <c r="C1259" i="14"/>
  <c r="B3311" i="14"/>
  <c r="B3224" i="14"/>
  <c r="C4963" i="14"/>
  <c r="B238" i="14"/>
  <c r="B3572" i="14"/>
  <c r="B4268" i="14"/>
  <c r="B3099" i="14"/>
  <c r="C3571" i="14"/>
  <c r="C3073" i="14"/>
  <c r="C3047" i="14"/>
  <c r="C3177" i="14"/>
  <c r="C1889" i="14"/>
  <c r="H2247" i="14" a="1"/>
  <c r="F3310" i="14"/>
  <c r="H4874" i="14" a="1"/>
  <c r="F3832" i="14"/>
  <c r="F4267" i="14"/>
  <c r="G1078" i="14"/>
  <c r="H425" i="14" a="1"/>
  <c r="G4440" i="14"/>
  <c r="F4441" i="14"/>
  <c r="H3045" i="14" a="1"/>
  <c r="G170" i="14"/>
  <c r="G426" i="14"/>
  <c r="G988" i="14"/>
  <c r="G44" i="14"/>
  <c r="H3482" i="14" a="1"/>
  <c r="H2518" i="14" a="1"/>
  <c r="F4702" i="14"/>
  <c r="H3569" i="14" a="1"/>
  <c r="G4353" i="14"/>
  <c r="H2941" i="14" a="1"/>
  <c r="G3570" i="14"/>
  <c r="F2540" i="14"/>
  <c r="H3308" i="14" a="1"/>
  <c r="G2248" i="14"/>
  <c r="H1257" i="14" a="1"/>
  <c r="F4789" i="14"/>
  <c r="H105" i="14" a="1"/>
  <c r="G3150" i="14"/>
  <c r="G2428" i="14"/>
  <c r="H554" i="14" a="1"/>
  <c r="G3222" i="14"/>
  <c r="F3919" i="14"/>
  <c r="H2337" i="14" a="1"/>
  <c r="F4006" i="14"/>
  <c r="G2068" i="14"/>
  <c r="F43" i="14"/>
  <c r="F5051" i="14"/>
  <c r="F3150" i="14"/>
  <c r="G3177" i="14"/>
  <c r="F109" i="14"/>
  <c r="H4004" i="14" a="1"/>
  <c r="G3072" i="14"/>
  <c r="H897" i="14" a="1"/>
  <c r="H1437" i="14" a="1"/>
  <c r="G898" i="14"/>
  <c r="G3309" i="14"/>
  <c r="G2968" i="14"/>
  <c r="F2447" i="14"/>
  <c r="G4005" i="14"/>
  <c r="G2519" i="14"/>
  <c r="G4788" i="14"/>
  <c r="H3097" i="14" a="1"/>
  <c r="F4528" i="14"/>
  <c r="G4092" i="14"/>
  <c r="H3176" i="14" a="1"/>
  <c r="G4875" i="14"/>
  <c r="G2338" i="14"/>
  <c r="F627" i="14"/>
  <c r="F3223" i="14"/>
  <c r="G3831" i="14"/>
  <c r="F692" i="14"/>
  <c r="H1797" i="14" a="1"/>
  <c r="H3149" i="14" a="1"/>
  <c r="G2994" i="14"/>
  <c r="F3658" i="14"/>
  <c r="H4352" i="14" a="1"/>
  <c r="G1348" i="14"/>
  <c r="H1707" i="14" a="1"/>
  <c r="G4614" i="14"/>
  <c r="G106" i="14"/>
  <c r="H3123" i="14" a="1"/>
  <c r="H3917" i="14" a="1"/>
  <c r="H4091" i="14" a="1"/>
  <c r="H2157" i="14" a="1"/>
  <c r="G1888" i="14"/>
  <c r="H3395" i="14" a="1"/>
  <c r="G3124" i="14"/>
  <c r="H1977" i="14" a="1"/>
  <c r="H3071" i="14" a="1"/>
  <c r="G4266" i="14"/>
  <c r="F3484" i="14"/>
  <c r="G3483" i="14"/>
  <c r="G1618" i="14"/>
  <c r="F558" i="14"/>
  <c r="F4354" i="14"/>
  <c r="H2967" i="14" a="1"/>
  <c r="G490" i="14"/>
  <c r="H2427" i="14" a="1"/>
  <c r="G3098" i="14"/>
  <c r="G362" i="14"/>
  <c r="H3221" i="14" a="1"/>
  <c r="G1978" i="14"/>
  <c r="F3124" i="14"/>
  <c r="G298" i="14"/>
  <c r="H3830" i="14" a="1"/>
  <c r="F301" i="14"/>
  <c r="G3020" i="14"/>
  <c r="F3046" i="14"/>
  <c r="F3098" i="14"/>
  <c r="F173" i="14"/>
  <c r="H4178" i="14" a="1"/>
  <c r="H169" i="14" a="1"/>
  <c r="G628" i="14"/>
  <c r="G4701" i="14"/>
  <c r="H807" i="14" a="1"/>
  <c r="F3020" i="14"/>
  <c r="G1528" i="14"/>
  <c r="H361" i="14" a="1"/>
  <c r="G1798" i="14"/>
  <c r="G3657" i="14"/>
  <c r="G3744" i="14"/>
  <c r="G555" i="14"/>
  <c r="G3918" i="14"/>
  <c r="F3397" i="14"/>
  <c r="H4439" i="14" a="1"/>
  <c r="G1258" i="14"/>
  <c r="H627" i="14" a="1"/>
  <c r="H2067" i="14" a="1"/>
  <c r="G1438" i="14"/>
  <c r="H4700" i="14" a="1"/>
  <c r="F3177" i="14"/>
  <c r="H3656" i="14" a="1"/>
  <c r="H1617" i="14" a="1"/>
  <c r="F365" i="14"/>
  <c r="H233" i="14" a="1"/>
  <c r="F4093" i="14"/>
  <c r="G3396" i="14"/>
  <c r="H4265" i="14" a="1"/>
  <c r="F3072" i="14"/>
  <c r="H43" i="14" a="1"/>
  <c r="F4876" i="14"/>
  <c r="H4526" i="14" a="1"/>
  <c r="H4613" i="14" a="1"/>
  <c r="G234" i="14"/>
  <c r="H2993" i="14" a="1"/>
  <c r="G718" i="14"/>
  <c r="H3019" i="14" a="1"/>
  <c r="H1167" i="14" a="1"/>
  <c r="G4527" i="14"/>
  <c r="H987" i="14" a="1"/>
  <c r="G1708" i="14"/>
  <c r="H1347" i="14" a="1"/>
  <c r="H1887" i="14" a="1"/>
  <c r="F4615" i="14"/>
  <c r="H3743" i="14" a="1"/>
  <c r="G3046" i="14"/>
  <c r="F429" i="14"/>
  <c r="H4787" i="14" a="1"/>
  <c r="F3745" i="14"/>
  <c r="F2968" i="14"/>
  <c r="G5050" i="14"/>
  <c r="H1527" i="14" a="1"/>
  <c r="F4180" i="14"/>
  <c r="F237" i="14"/>
  <c r="G808" i="14"/>
  <c r="H717" i="14" a="1"/>
  <c r="G4962" i="14"/>
  <c r="F4963" i="14"/>
  <c r="H489" i="14" a="1"/>
  <c r="G4179" i="14"/>
  <c r="F3571" i="14"/>
  <c r="F2994" i="14"/>
  <c r="H5049" i="14" a="1"/>
  <c r="G1168" i="14"/>
  <c r="F493" i="14"/>
  <c r="H4961" i="14" a="1"/>
  <c r="H1077" i="14" a="1"/>
  <c r="H297" i="14" a="1"/>
  <c r="G2158" i="14"/>
  <c r="H3569" i="14" l="1"/>
  <c r="H5049" i="14"/>
  <c r="H3123" i="14"/>
  <c r="H1347" i="14"/>
  <c r="H425" i="14"/>
  <c r="H361" i="14"/>
  <c r="H489" i="14"/>
  <c r="H3019" i="14"/>
  <c r="H1077" i="14"/>
  <c r="H717" i="14"/>
  <c r="H1887" i="14"/>
  <c r="H4526" i="14"/>
  <c r="H1977" i="14"/>
  <c r="H2427" i="14"/>
  <c r="H4787" i="14"/>
  <c r="H897" i="14"/>
  <c r="H4091" i="14"/>
  <c r="H3743" i="14"/>
  <c r="H3482" i="14"/>
  <c r="H3656" i="14"/>
  <c r="H1707" i="14"/>
  <c r="H4874" i="14"/>
  <c r="H1167" i="14"/>
  <c r="H627" i="14"/>
  <c r="H3149" i="14"/>
  <c r="H2993" i="14"/>
  <c r="H4613" i="14"/>
  <c r="H105" i="14"/>
  <c r="H987" i="14"/>
  <c r="H3395" i="14"/>
  <c r="H4265" i="14"/>
  <c r="H807" i="14"/>
  <c r="H3097" i="14"/>
  <c r="H4004" i="14"/>
  <c r="H1617" i="14"/>
  <c r="H3830" i="14"/>
  <c r="H43" i="14"/>
  <c r="H4352" i="14"/>
  <c r="H2067" i="14"/>
  <c r="H2941" i="14"/>
  <c r="H233" i="14"/>
  <c r="H4439" i="14"/>
  <c r="H4961" i="14"/>
  <c r="H3045" i="14"/>
  <c r="H4700" i="14"/>
  <c r="H3176" i="14"/>
  <c r="H3308" i="14"/>
  <c r="H297" i="14"/>
  <c r="H554" i="14"/>
  <c r="H4178" i="14"/>
  <c r="H3917" i="14"/>
  <c r="H3071" i="14"/>
  <c r="H1257" i="14"/>
  <c r="H1437" i="14"/>
  <c r="H2967" i="14"/>
  <c r="H2157" i="14"/>
  <c r="H169" i="14"/>
  <c r="H2518" i="14"/>
  <c r="H1797" i="14"/>
  <c r="H1527" i="14"/>
  <c r="H3221" i="14"/>
  <c r="H2337" i="14"/>
  <c r="H2247" i="14"/>
  <c r="B303" i="14"/>
  <c r="C720" i="14"/>
  <c r="C630" i="14"/>
  <c r="B239" i="14"/>
  <c r="B367" i="14"/>
  <c r="C492" i="14"/>
  <c r="B4965" i="14"/>
  <c r="C1170" i="14"/>
  <c r="C3048" i="14"/>
  <c r="B3126" i="14"/>
  <c r="B4617" i="14"/>
  <c r="C4181" i="14"/>
  <c r="C1620" i="14"/>
  <c r="C4877" i="14"/>
  <c r="B4530" i="14"/>
  <c r="B495" i="14"/>
  <c r="B4356" i="14"/>
  <c r="B3312" i="14"/>
  <c r="B3225" i="14"/>
  <c r="C3920" i="14"/>
  <c r="C2070" i="14"/>
  <c r="C4529" i="14"/>
  <c r="C46" i="14"/>
  <c r="C4007" i="14"/>
  <c r="C4616" i="14"/>
  <c r="B2449" i="14"/>
  <c r="C4790" i="14"/>
  <c r="C1980" i="14"/>
  <c r="B45" i="14"/>
  <c r="B4182" i="14"/>
  <c r="B3486" i="14"/>
  <c r="C4268" i="14"/>
  <c r="C1710" i="14"/>
  <c r="C428" i="14"/>
  <c r="C1890" i="14"/>
  <c r="C4442" i="14"/>
  <c r="B3178" i="14"/>
  <c r="B4704" i="14"/>
  <c r="C3398" i="14"/>
  <c r="C3152" i="14"/>
  <c r="B4878" i="14"/>
  <c r="B4269" i="14"/>
  <c r="B4791" i="14"/>
  <c r="C556" i="14"/>
  <c r="C1530" i="14"/>
  <c r="B2542" i="14"/>
  <c r="B3022" i="14"/>
  <c r="C4355" i="14"/>
  <c r="B4443" i="14"/>
  <c r="C1260" i="14"/>
  <c r="C990" i="14"/>
  <c r="C3746" i="14"/>
  <c r="C364" i="14"/>
  <c r="B3048" i="14"/>
  <c r="B559" i="14"/>
  <c r="C1440" i="14"/>
  <c r="B4008" i="14"/>
  <c r="B3834" i="14"/>
  <c r="C3224" i="14"/>
  <c r="C3311" i="14"/>
  <c r="C3485" i="14"/>
  <c r="C3100" i="14"/>
  <c r="B3660" i="14"/>
  <c r="B3399" i="14"/>
  <c r="B5052" i="14"/>
  <c r="B3074" i="14"/>
  <c r="C108" i="14"/>
  <c r="C172" i="14"/>
  <c r="C4703" i="14"/>
  <c r="C1350" i="14"/>
  <c r="C3833" i="14"/>
  <c r="C1080" i="14"/>
  <c r="B3747" i="14"/>
  <c r="B4095" i="14"/>
  <c r="C236" i="14"/>
  <c r="C2160" i="14"/>
  <c r="C2430" i="14"/>
  <c r="C2340" i="14"/>
  <c r="C2520" i="14"/>
  <c r="C300" i="14"/>
  <c r="C5051" i="14"/>
  <c r="C3126" i="14"/>
  <c r="C810" i="14"/>
  <c r="C3572" i="14"/>
  <c r="C1800" i="14"/>
  <c r="C3178" i="14"/>
  <c r="B3573" i="14"/>
  <c r="B3152" i="14"/>
  <c r="C3074" i="14"/>
  <c r="C3659" i="14"/>
  <c r="C4094" i="14"/>
  <c r="B629" i="14"/>
  <c r="B693" i="14"/>
  <c r="B111" i="14"/>
  <c r="B175" i="14"/>
  <c r="C900" i="14"/>
  <c r="C4964" i="14"/>
  <c r="B3100" i="14"/>
  <c r="B431" i="14"/>
  <c r="C3022" i="14"/>
  <c r="B3921" i="14"/>
  <c r="C2250" i="14"/>
  <c r="H1978" i="14" a="1"/>
  <c r="G989" i="14"/>
  <c r="F3746" i="14"/>
  <c r="H3124" i="14" a="1"/>
  <c r="G2069" i="14"/>
  <c r="H718" i="14" a="1"/>
  <c r="F44" i="14"/>
  <c r="F4616" i="14"/>
  <c r="H3570" i="14" a="1"/>
  <c r="G5051" i="14"/>
  <c r="F3021" i="14"/>
  <c r="H490" i="14" a="1"/>
  <c r="F4964" i="14"/>
  <c r="G3310" i="14"/>
  <c r="H3222" i="14" a="1"/>
  <c r="F3833" i="14"/>
  <c r="G2995" i="14"/>
  <c r="H3020" i="14" a="1"/>
  <c r="F3398" i="14"/>
  <c r="G1619" i="14"/>
  <c r="G491" i="14"/>
  <c r="H2248" i="14" a="1"/>
  <c r="H4962" i="14" a="1"/>
  <c r="H3744" i="14" a="1"/>
  <c r="G235" i="14"/>
  <c r="F366" i="14"/>
  <c r="H1798" i="14" a="1"/>
  <c r="G299" i="14"/>
  <c r="G4354" i="14"/>
  <c r="H426" i="14" a="1"/>
  <c r="F3047" i="14"/>
  <c r="G4267" i="14"/>
  <c r="G107" i="14"/>
  <c r="G3658" i="14"/>
  <c r="F3073" i="14"/>
  <c r="H170" i="14" a="1"/>
  <c r="H5050" i="14" a="1"/>
  <c r="F3178" i="14"/>
  <c r="H4353" i="14" a="1"/>
  <c r="H2158" i="14" a="1"/>
  <c r="F4181" i="14"/>
  <c r="G3919" i="14"/>
  <c r="G2429" i="14"/>
  <c r="G1889" i="14"/>
  <c r="F4877" i="14"/>
  <c r="H4875" i="14" a="1"/>
  <c r="G3223" i="14"/>
  <c r="G1709" i="14"/>
  <c r="H2994" i="14" a="1"/>
  <c r="F3659" i="14"/>
  <c r="G3832" i="14"/>
  <c r="H234" i="14" a="1"/>
  <c r="G899" i="14"/>
  <c r="H4005" i="14" a="1"/>
  <c r="F3151" i="14"/>
  <c r="F3311" i="14"/>
  <c r="F693" i="14"/>
  <c r="G4093" i="14"/>
  <c r="F302" i="14"/>
  <c r="H2338" i="14" a="1"/>
  <c r="F4268" i="14"/>
  <c r="H4527" i="14" a="1"/>
  <c r="H3831" i="14" a="1"/>
  <c r="F4094" i="14"/>
  <c r="G2159" i="14"/>
  <c r="H1618" i="14" a="1"/>
  <c r="H555" i="14" a="1"/>
  <c r="F2541" i="14"/>
  <c r="G4006" i="14"/>
  <c r="G3178" i="14"/>
  <c r="F2448" i="14"/>
  <c r="G3125" i="14"/>
  <c r="H3483" i="14" a="1"/>
  <c r="F4007" i="14"/>
  <c r="H3396" i="14" a="1"/>
  <c r="H4179" i="14" a="1"/>
  <c r="H1528" i="14" a="1"/>
  <c r="G2339" i="14"/>
  <c r="F3125" i="14"/>
  <c r="H1078" i="14" a="1"/>
  <c r="G427" i="14"/>
  <c r="H3072" i="14" a="1"/>
  <c r="F4790" i="14"/>
  <c r="H1168" i="14" a="1"/>
  <c r="F5052" i="14"/>
  <c r="G2249" i="14"/>
  <c r="H4614" i="14" a="1"/>
  <c r="G4963" i="14"/>
  <c r="H4788" i="14" a="1"/>
  <c r="G4702" i="14"/>
  <c r="G719" i="14"/>
  <c r="F3099" i="14"/>
  <c r="G4615" i="14"/>
  <c r="F238" i="14"/>
  <c r="H628" i="14" a="1"/>
  <c r="F4703" i="14"/>
  <c r="G556" i="14"/>
  <c r="H3150" i="14" a="1"/>
  <c r="G1259" i="14"/>
  <c r="G1979" i="14"/>
  <c r="H1348" i="14" a="1"/>
  <c r="G3397" i="14"/>
  <c r="G4441" i="14"/>
  <c r="G3745" i="14"/>
  <c r="G3151" i="14"/>
  <c r="G363" i="14"/>
  <c r="G629" i="14"/>
  <c r="G3484" i="14"/>
  <c r="H988" i="14" a="1"/>
  <c r="H4701" i="14" a="1"/>
  <c r="G4876" i="14"/>
  <c r="H1708" i="14" a="1"/>
  <c r="H4266" i="14" a="1"/>
  <c r="G3021" i="14"/>
  <c r="F110" i="14"/>
  <c r="H1258" i="14" a="1"/>
  <c r="H2428" i="14" a="1"/>
  <c r="H44" i="14" a="1"/>
  <c r="G1439" i="14"/>
  <c r="G1169" i="14"/>
  <c r="H3657" i="14" a="1"/>
  <c r="F3920" i="14"/>
  <c r="F628" i="14"/>
  <c r="H298" i="14" a="1"/>
  <c r="F494" i="14"/>
  <c r="H3309" i="14" a="1"/>
  <c r="H3177" i="14" a="1"/>
  <c r="H2968" i="14" a="1"/>
  <c r="G1799" i="14"/>
  <c r="G809" i="14"/>
  <c r="H106" i="14" a="1"/>
  <c r="G45" i="14"/>
  <c r="F174" i="14"/>
  <c r="H2068" i="14" a="1"/>
  <c r="H2519" i="14" a="1"/>
  <c r="G3571" i="14"/>
  <c r="F559" i="14"/>
  <c r="H4092" i="14" a="1"/>
  <c r="H3046" i="14" a="1"/>
  <c r="F3485" i="14"/>
  <c r="H1888" i="14" a="1"/>
  <c r="G4180" i="14"/>
  <c r="F4355" i="14"/>
  <c r="G1529" i="14"/>
  <c r="H3918" i="14" a="1"/>
  <c r="G3047" i="14"/>
  <c r="H3098" i="14" a="1"/>
  <c r="G2520" i="14"/>
  <c r="G1349" i="14"/>
  <c r="F430" i="14"/>
  <c r="F4442" i="14"/>
  <c r="G4789" i="14"/>
  <c r="H362" i="14" a="1"/>
  <c r="G3073" i="14"/>
  <c r="H1438" i="14" a="1"/>
  <c r="H4440" i="14" a="1"/>
  <c r="G171" i="14"/>
  <c r="F3224" i="14"/>
  <c r="F3572" i="14"/>
  <c r="G3099" i="14"/>
  <c r="F4529" i="14"/>
  <c r="H898" i="14" a="1"/>
  <c r="H808" i="14" a="1"/>
  <c r="F2995" i="14"/>
  <c r="G4528" i="14"/>
  <c r="G1079" i="14"/>
  <c r="H1618" i="14" l="1"/>
  <c r="H3177" i="14"/>
  <c r="H3309" i="14"/>
  <c r="H3483" i="14"/>
  <c r="H3072" i="14"/>
  <c r="H4353" i="14"/>
  <c r="H1888" i="14"/>
  <c r="H3570" i="14"/>
  <c r="H4092" i="14"/>
  <c r="H2428" i="14"/>
  <c r="H1258" i="14"/>
  <c r="H5050" i="14"/>
  <c r="H1438" i="14"/>
  <c r="H1708" i="14"/>
  <c r="H106" i="14"/>
  <c r="H1528" i="14"/>
  <c r="H2968" i="14"/>
  <c r="H4962" i="14"/>
  <c r="H2248" i="14"/>
  <c r="H298" i="14"/>
  <c r="H4527" i="14"/>
  <c r="H3150" i="14"/>
  <c r="H3657" i="14"/>
  <c r="H555" i="14"/>
  <c r="H44" i="14"/>
  <c r="H4614" i="14"/>
  <c r="H1168" i="14"/>
  <c r="H3918" i="14"/>
  <c r="H2068" i="14"/>
  <c r="H3222" i="14"/>
  <c r="H1798" i="14"/>
  <c r="H3046" i="14"/>
  <c r="H3744" i="14"/>
  <c r="H3124" i="14"/>
  <c r="H1978" i="14"/>
  <c r="H808" i="14"/>
  <c r="H2158" i="14"/>
  <c r="H1078" i="14"/>
  <c r="H628" i="14"/>
  <c r="H4875" i="14"/>
  <c r="H4788" i="14"/>
  <c r="H3396" i="14"/>
  <c r="H4440" i="14"/>
  <c r="H4701" i="14"/>
  <c r="H426" i="14"/>
  <c r="H362" i="14"/>
  <c r="H490" i="14"/>
  <c r="H170" i="14"/>
  <c r="H718" i="14"/>
  <c r="H3098" i="14"/>
  <c r="H3831" i="14"/>
  <c r="H234" i="14"/>
  <c r="H1348" i="14"/>
  <c r="H2338" i="14"/>
  <c r="H898" i="14"/>
  <c r="H988" i="14"/>
  <c r="H4179" i="14"/>
  <c r="H4005" i="14"/>
  <c r="H2519" i="14"/>
  <c r="H4266" i="14"/>
  <c r="H3020" i="14"/>
  <c r="H2994" i="14"/>
  <c r="C3747" i="14"/>
  <c r="C2431" i="14"/>
  <c r="B3101" i="14"/>
  <c r="C3127" i="14"/>
  <c r="C429" i="14"/>
  <c r="B4444" i="14"/>
  <c r="B4531" i="14"/>
  <c r="B4966" i="14"/>
  <c r="C991" i="14"/>
  <c r="C901" i="14"/>
  <c r="C301" i="14"/>
  <c r="C3921" i="14"/>
  <c r="B3748" i="14"/>
  <c r="B3075" i="14"/>
  <c r="C1351" i="14"/>
  <c r="B4792" i="14"/>
  <c r="C493" i="14"/>
  <c r="B4270" i="14"/>
  <c r="B2450" i="14"/>
  <c r="C4617" i="14"/>
  <c r="B3400" i="14"/>
  <c r="C4965" i="14"/>
  <c r="B3153" i="14"/>
  <c r="C3049" i="14"/>
  <c r="C4182" i="14"/>
  <c r="B3661" i="14"/>
  <c r="B3922" i="14"/>
  <c r="B2543" i="14"/>
  <c r="B4357" i="14"/>
  <c r="C1711" i="14"/>
  <c r="C3075" i="14"/>
  <c r="B368" i="14"/>
  <c r="C1441" i="14"/>
  <c r="B4096" i="14"/>
  <c r="C1801" i="14"/>
  <c r="B46" i="14"/>
  <c r="C2161" i="14"/>
  <c r="C3153" i="14"/>
  <c r="B4183" i="14"/>
  <c r="B176" i="14"/>
  <c r="B112" i="14"/>
  <c r="C4443" i="14"/>
  <c r="C3179" i="14"/>
  <c r="C4530" i="14"/>
  <c r="B304" i="14"/>
  <c r="C2341" i="14"/>
  <c r="B3127" i="14"/>
  <c r="C3101" i="14"/>
  <c r="C2521" i="14"/>
  <c r="B3835" i="14"/>
  <c r="C4791" i="14"/>
  <c r="C3399" i="14"/>
  <c r="C1531" i="14"/>
  <c r="C4356" i="14"/>
  <c r="C2071" i="14"/>
  <c r="C4095" i="14"/>
  <c r="C4008" i="14"/>
  <c r="C1621" i="14"/>
  <c r="B496" i="14"/>
  <c r="B240" i="14"/>
  <c r="C3573" i="14"/>
  <c r="C1261" i="14"/>
  <c r="B3179" i="14"/>
  <c r="C365" i="14"/>
  <c r="C237" i="14"/>
  <c r="B3487" i="14"/>
  <c r="C1081" i="14"/>
  <c r="C3486" i="14"/>
  <c r="B3574" i="14"/>
  <c r="C47" i="14"/>
  <c r="B4618" i="14"/>
  <c r="B4705" i="14"/>
  <c r="B5053" i="14"/>
  <c r="C721" i="14"/>
  <c r="C631" i="14"/>
  <c r="B432" i="14"/>
  <c r="C4704" i="14"/>
  <c r="C4269" i="14"/>
  <c r="C1891" i="14"/>
  <c r="C3834" i="14"/>
  <c r="B560" i="14"/>
  <c r="B4009" i="14"/>
  <c r="C5052" i="14"/>
  <c r="B694" i="14"/>
  <c r="B630" i="14"/>
  <c r="C3660" i="14"/>
  <c r="C2251" i="14"/>
  <c r="C1171" i="14"/>
  <c r="C173" i="14"/>
  <c r="C109" i="14"/>
  <c r="C3312" i="14"/>
  <c r="C3225" i="14"/>
  <c r="B3049" i="14"/>
  <c r="B4879" i="14"/>
  <c r="C1981" i="14"/>
  <c r="C4878" i="14"/>
  <c r="B3313" i="14"/>
  <c r="B3226" i="14"/>
  <c r="C557" i="14"/>
  <c r="C811" i="14"/>
  <c r="H4267" i="14" a="1"/>
  <c r="F4443" i="14"/>
  <c r="F3399" i="14"/>
  <c r="H1799" i="14" a="1"/>
  <c r="F3126" i="14"/>
  <c r="H809" i="14" a="1"/>
  <c r="H2249" i="14" a="1"/>
  <c r="F3225" i="14"/>
  <c r="H2520" i="14" a="1"/>
  <c r="F3573" i="14"/>
  <c r="F3660" i="14"/>
  <c r="H3571" i="14" a="1"/>
  <c r="G3179" i="14"/>
  <c r="G1350" i="14"/>
  <c r="H4093" i="14" a="1"/>
  <c r="F3100" i="14"/>
  <c r="G1170" i="14"/>
  <c r="G4529" i="14"/>
  <c r="H3832" i="14" a="1"/>
  <c r="F2542" i="14"/>
  <c r="H3178" i="14" a="1"/>
  <c r="H3310" i="14" a="1"/>
  <c r="G3224" i="14"/>
  <c r="H4528" i="14" a="1"/>
  <c r="G2250" i="14"/>
  <c r="G4616" i="14"/>
  <c r="G2160" i="14"/>
  <c r="H235" i="14" a="1"/>
  <c r="H171" i="14" a="1"/>
  <c r="H299" i="14" a="1"/>
  <c r="F4965" i="14"/>
  <c r="H629" i="14" a="1"/>
  <c r="G300" i="14"/>
  <c r="G4877" i="14"/>
  <c r="H1709" i="14" a="1"/>
  <c r="H3151" i="14" a="1"/>
  <c r="G2521" i="14"/>
  <c r="G990" i="14"/>
  <c r="H3099" i="14" a="1"/>
  <c r="G1980" i="14"/>
  <c r="G4790" i="14"/>
  <c r="F45" i="14"/>
  <c r="F3074" i="14"/>
  <c r="H4702" i="14" a="1"/>
  <c r="F4617" i="14"/>
  <c r="G1260" i="14"/>
  <c r="H1349" i="14" a="1"/>
  <c r="G46" i="14"/>
  <c r="G3048" i="14"/>
  <c r="H2159" i="14" a="1"/>
  <c r="H107" i="14" a="1"/>
  <c r="H3658" i="14" a="1"/>
  <c r="H3484" i="14" a="1"/>
  <c r="H4876" i="14" a="1"/>
  <c r="F4878" i="14"/>
  <c r="H2429" i="14" a="1"/>
  <c r="F303" i="14"/>
  <c r="F5053" i="14"/>
  <c r="H4180" i="14" a="1"/>
  <c r="F175" i="14"/>
  <c r="F560" i="14"/>
  <c r="F629" i="14"/>
  <c r="H1619" i="14" a="1"/>
  <c r="G2340" i="14"/>
  <c r="G428" i="14"/>
  <c r="H4615" i="14" a="1"/>
  <c r="H363" i="14" a="1"/>
  <c r="G1620" i="14"/>
  <c r="H2339" i="14" a="1"/>
  <c r="G172" i="14"/>
  <c r="H3021" i="14" a="1"/>
  <c r="G720" i="14"/>
  <c r="H3223" i="14" a="1"/>
  <c r="H4441" i="14" a="1"/>
  <c r="F3312" i="14"/>
  <c r="G4007" i="14"/>
  <c r="H3919" i="14" a="1"/>
  <c r="G3746" i="14"/>
  <c r="G1530" i="14"/>
  <c r="F4356" i="14"/>
  <c r="G4094" i="14"/>
  <c r="G4268" i="14"/>
  <c r="F3048" i="14"/>
  <c r="G3920" i="14"/>
  <c r="G3485" i="14"/>
  <c r="H3047" i="14" a="1"/>
  <c r="G364" i="14"/>
  <c r="H719" i="14" a="1"/>
  <c r="G1800" i="14"/>
  <c r="G3833" i="14"/>
  <c r="H899" i="14" a="1"/>
  <c r="G4964" i="14"/>
  <c r="F4704" i="14"/>
  <c r="H2995" i="14" a="1"/>
  <c r="G1080" i="14"/>
  <c r="G3022" i="14"/>
  <c r="H4354" i="14" a="1"/>
  <c r="G4703" i="14"/>
  <c r="G557" i="14"/>
  <c r="F431" i="14"/>
  <c r="G630" i="14"/>
  <c r="F3179" i="14"/>
  <c r="F111" i="14"/>
  <c r="G1710" i="14"/>
  <c r="H1439" i="14" a="1"/>
  <c r="H45" i="14" a="1"/>
  <c r="F495" i="14"/>
  <c r="G810" i="14"/>
  <c r="F4791" i="14"/>
  <c r="G2070" i="14"/>
  <c r="H1079" i="14" a="1"/>
  <c r="G3074" i="14"/>
  <c r="G900" i="14"/>
  <c r="H1979" i="14" a="1"/>
  <c r="G3572" i="14"/>
  <c r="G3152" i="14"/>
  <c r="G492" i="14"/>
  <c r="F3152" i="14"/>
  <c r="H2069" i="14" a="1"/>
  <c r="F3486" i="14"/>
  <c r="G3126" i="14"/>
  <c r="H4006" i="14" a="1"/>
  <c r="H3745" i="14" a="1"/>
  <c r="G2430" i="14"/>
  <c r="F4530" i="14"/>
  <c r="H427" i="14" a="1"/>
  <c r="F3747" i="14"/>
  <c r="F3834" i="14"/>
  <c r="H4963" i="14" a="1"/>
  <c r="F4008" i="14"/>
  <c r="F367" i="14"/>
  <c r="G108" i="14"/>
  <c r="F694" i="14"/>
  <c r="G4355" i="14"/>
  <c r="F3022" i="14"/>
  <c r="F3921" i="14"/>
  <c r="F4269" i="14"/>
  <c r="H3125" i="14" a="1"/>
  <c r="H5051" i="14" a="1"/>
  <c r="F239" i="14"/>
  <c r="H3073" i="14" a="1"/>
  <c r="G3659" i="14"/>
  <c r="F4095" i="14"/>
  <c r="H1889" i="14" a="1"/>
  <c r="H556" i="14" a="1"/>
  <c r="G3100" i="14"/>
  <c r="F2449" i="14"/>
  <c r="H1169" i="14" a="1"/>
  <c r="G3311" i="14"/>
  <c r="G4181" i="14"/>
  <c r="H1259" i="14" a="1"/>
  <c r="H4789" i="14" a="1"/>
  <c r="G1890" i="14"/>
  <c r="H1529" i="14" a="1"/>
  <c r="H989" i="14" a="1"/>
  <c r="F4182" i="14"/>
  <c r="G236" i="14"/>
  <c r="G5052" i="14"/>
  <c r="G4442" i="14"/>
  <c r="H491" i="14" a="1"/>
  <c r="G1440" i="14"/>
  <c r="G3398" i="14"/>
  <c r="H3397" i="14" a="1"/>
  <c r="H3832" i="14" l="1"/>
  <c r="H3919" i="14"/>
  <c r="H491" i="14"/>
  <c r="H4441" i="14"/>
  <c r="H4528" i="14"/>
  <c r="H1799" i="14"/>
  <c r="H4267" i="14"/>
  <c r="H363" i="14"/>
  <c r="H3397" i="14"/>
  <c r="H1259" i="14"/>
  <c r="H4615" i="14"/>
  <c r="H1169" i="14"/>
  <c r="H3047" i="14"/>
  <c r="H989" i="14"/>
  <c r="H1529" i="14"/>
  <c r="H5051" i="14"/>
  <c r="H2339" i="14"/>
  <c r="H3073" i="14"/>
  <c r="H2429" i="14"/>
  <c r="H3125" i="14"/>
  <c r="H2249" i="14"/>
  <c r="H556" i="14"/>
  <c r="H1889" i="14"/>
  <c r="H809" i="14"/>
  <c r="H4180" i="14"/>
  <c r="H4963" i="14"/>
  <c r="H1349" i="14"/>
  <c r="H427" i="14"/>
  <c r="H3223" i="14"/>
  <c r="H3658" i="14"/>
  <c r="H107" i="14"/>
  <c r="H4789" i="14"/>
  <c r="H2159" i="14"/>
  <c r="H2069" i="14"/>
  <c r="H3151" i="14"/>
  <c r="H1709" i="14"/>
  <c r="H1619" i="14"/>
  <c r="H3745" i="14"/>
  <c r="H4006" i="14"/>
  <c r="H3021" i="14"/>
  <c r="H3099" i="14"/>
  <c r="H235" i="14"/>
  <c r="H45" i="14"/>
  <c r="H1439" i="14"/>
  <c r="H3484" i="14"/>
  <c r="H629" i="14"/>
  <c r="H1079" i="14"/>
  <c r="H299" i="14"/>
  <c r="H171" i="14"/>
  <c r="H2995" i="14"/>
  <c r="H899" i="14"/>
  <c r="H719" i="14"/>
  <c r="H4702" i="14"/>
  <c r="H3310" i="14"/>
  <c r="H3178" i="14"/>
  <c r="H4876" i="14"/>
  <c r="H4354" i="14"/>
  <c r="H4093" i="14"/>
  <c r="H3571" i="14"/>
  <c r="H2520" i="14"/>
  <c r="H1979" i="14"/>
  <c r="C4531" i="14"/>
  <c r="C812" i="14"/>
  <c r="C2072" i="14"/>
  <c r="B4445" i="14"/>
  <c r="B3662" i="14"/>
  <c r="B433" i="14"/>
  <c r="C3076" i="14"/>
  <c r="B4880" i="14"/>
  <c r="C4009" i="14"/>
  <c r="C3154" i="14"/>
  <c r="C174" i="14"/>
  <c r="C110" i="14"/>
  <c r="B695" i="14"/>
  <c r="B631" i="14"/>
  <c r="C3574" i="14"/>
  <c r="B305" i="14"/>
  <c r="C4183" i="14"/>
  <c r="C3487" i="14"/>
  <c r="C4618" i="14"/>
  <c r="B47" i="14"/>
  <c r="B2544" i="14"/>
  <c r="C4705" i="14"/>
  <c r="B5054" i="14"/>
  <c r="B3749" i="14"/>
  <c r="C4966" i="14"/>
  <c r="C3313" i="14"/>
  <c r="C3226" i="14"/>
  <c r="B3923" i="14"/>
  <c r="C4270" i="14"/>
  <c r="C4357" i="14"/>
  <c r="C3748" i="14"/>
  <c r="C4792" i="14"/>
  <c r="C3661" i="14"/>
  <c r="C238" i="14"/>
  <c r="B2451" i="14"/>
  <c r="B3128" i="14"/>
  <c r="C1982" i="14"/>
  <c r="C2432" i="14"/>
  <c r="C5053" i="14"/>
  <c r="B3102" i="14"/>
  <c r="B4532" i="14"/>
  <c r="C2522" i="14"/>
  <c r="C902" i="14"/>
  <c r="B3575" i="14"/>
  <c r="C1712" i="14"/>
  <c r="C4444" i="14"/>
  <c r="C2252" i="14"/>
  <c r="C3400" i="14"/>
  <c r="B4097" i="14"/>
  <c r="B369" i="14"/>
  <c r="B113" i="14"/>
  <c r="B177" i="14"/>
  <c r="C1532" i="14"/>
  <c r="C558" i="14"/>
  <c r="B3836" i="14"/>
  <c r="C1082" i="14"/>
  <c r="C3835" i="14"/>
  <c r="C302" i="14"/>
  <c r="C4096" i="14"/>
  <c r="C1622" i="14"/>
  <c r="B241" i="14"/>
  <c r="B4967" i="14"/>
  <c r="C3922" i="14"/>
  <c r="B497" i="14"/>
  <c r="B4793" i="14"/>
  <c r="C430" i="14"/>
  <c r="C3128" i="14"/>
  <c r="B3314" i="14"/>
  <c r="B3227" i="14"/>
  <c r="C1262" i="14"/>
  <c r="B4706" i="14"/>
  <c r="B561" i="14"/>
  <c r="C2162" i="14"/>
  <c r="C4879" i="14"/>
  <c r="B3154" i="14"/>
  <c r="B4271" i="14"/>
  <c r="C1892" i="14"/>
  <c r="C3102" i="14"/>
  <c r="B4010" i="14"/>
  <c r="B3180" i="14"/>
  <c r="C1442" i="14"/>
  <c r="C366" i="14"/>
  <c r="B4619" i="14"/>
  <c r="C2342" i="14"/>
  <c r="C1352" i="14"/>
  <c r="C48" i="14"/>
  <c r="B3488" i="14"/>
  <c r="C494" i="14"/>
  <c r="B3401" i="14"/>
  <c r="B3076" i="14"/>
  <c r="C722" i="14"/>
  <c r="C632" i="14"/>
  <c r="C1172" i="14"/>
  <c r="C3180" i="14"/>
  <c r="B4184" i="14"/>
  <c r="C1802" i="14"/>
  <c r="B4358" i="14"/>
  <c r="C992" i="14"/>
  <c r="H236" i="14" a="1"/>
  <c r="F3400" i="14"/>
  <c r="G237" i="14"/>
  <c r="G1981" i="14"/>
  <c r="H5052" i="14" a="1"/>
  <c r="H810" i="14" a="1"/>
  <c r="G4965" i="14"/>
  <c r="F695" i="14"/>
  <c r="F4966" i="14"/>
  <c r="H1350" i="14" a="1"/>
  <c r="G2251" i="14"/>
  <c r="G4878" i="14"/>
  <c r="G301" i="14"/>
  <c r="H630" i="14" a="1"/>
  <c r="F5054" i="14"/>
  <c r="F496" i="14"/>
  <c r="H3152" i="14" a="1"/>
  <c r="F432" i="14"/>
  <c r="F3574" i="14"/>
  <c r="H108" i="14" a="1"/>
  <c r="H1980" i="14" a="1"/>
  <c r="G4530" i="14"/>
  <c r="H2070" i="14" a="1"/>
  <c r="F4183" i="14"/>
  <c r="H4703" i="14" a="1"/>
  <c r="H4529" i="14" a="1"/>
  <c r="H428" i="14" a="1"/>
  <c r="H900" i="14" a="1"/>
  <c r="F3487" i="14"/>
  <c r="H172" i="14" a="1"/>
  <c r="H4616" i="14" a="1"/>
  <c r="G2071" i="14"/>
  <c r="F4792" i="14"/>
  <c r="G3153" i="14"/>
  <c r="G4008" i="14"/>
  <c r="H4790" i="14" a="1"/>
  <c r="G1261" i="14"/>
  <c r="H3224" i="14" a="1"/>
  <c r="H492" i="14" a="1"/>
  <c r="H4181" i="14" a="1"/>
  <c r="H3920" i="14" a="1"/>
  <c r="F3748" i="14"/>
  <c r="G631" i="14"/>
  <c r="H1800" i="14" a="1"/>
  <c r="F4009" i="14"/>
  <c r="F368" i="14"/>
  <c r="F2450" i="14"/>
  <c r="H2160" i="14" a="1"/>
  <c r="G109" i="14"/>
  <c r="H4007" i="14" a="1"/>
  <c r="H1170" i="14" a="1"/>
  <c r="G3049" i="14"/>
  <c r="H4442" i="14" a="1"/>
  <c r="H720" i="14" a="1"/>
  <c r="G47" i="14"/>
  <c r="G1441" i="14"/>
  <c r="G3747" i="14"/>
  <c r="G2341" i="14"/>
  <c r="G493" i="14"/>
  <c r="F4531" i="14"/>
  <c r="F4705" i="14"/>
  <c r="H364" i="14" a="1"/>
  <c r="G991" i="14"/>
  <c r="G3660" i="14"/>
  <c r="G4356" i="14"/>
  <c r="H4355" i="14" a="1"/>
  <c r="G4617" i="14"/>
  <c r="F3075" i="14"/>
  <c r="H3398" i="14" a="1"/>
  <c r="F176" i="14"/>
  <c r="F3101" i="14"/>
  <c r="H4877" i="14" a="1"/>
  <c r="G2431" i="14"/>
  <c r="G3225" i="14"/>
  <c r="G1801" i="14"/>
  <c r="G3180" i="14"/>
  <c r="H2340" i="14" a="1"/>
  <c r="H1260" i="14" a="1"/>
  <c r="F304" i="14"/>
  <c r="H3100" i="14" a="1"/>
  <c r="F3835" i="14"/>
  <c r="F630" i="14"/>
  <c r="G3399" i="14"/>
  <c r="G4095" i="14"/>
  <c r="H300" i="14" a="1"/>
  <c r="F4444" i="14"/>
  <c r="F3922" i="14"/>
  <c r="G2522" i="14"/>
  <c r="H3311" i="14" a="1"/>
  <c r="F46" i="14"/>
  <c r="F4270" i="14"/>
  <c r="G3486" i="14"/>
  <c r="H3179" i="14" a="1"/>
  <c r="F4618" i="14"/>
  <c r="G3921" i="14"/>
  <c r="H557" i="14" a="1"/>
  <c r="G1171" i="14"/>
  <c r="G2161" i="14"/>
  <c r="H46" i="14" a="1"/>
  <c r="G901" i="14"/>
  <c r="G721" i="14"/>
  <c r="G4269" i="14"/>
  <c r="G811" i="14"/>
  <c r="G3127" i="14"/>
  <c r="G1891" i="14"/>
  <c r="F4879" i="14"/>
  <c r="F3661" i="14"/>
  <c r="H1080" i="14" a="1"/>
  <c r="G4791" i="14"/>
  <c r="H3485" i="14" a="1"/>
  <c r="F3049" i="14"/>
  <c r="G4443" i="14"/>
  <c r="H1530" i="14" a="1"/>
  <c r="G3075" i="14"/>
  <c r="H1440" i="14" a="1"/>
  <c r="G4704" i="14"/>
  <c r="G1351" i="14"/>
  <c r="H3572" i="14" a="1"/>
  <c r="F112" i="14"/>
  <c r="F3153" i="14"/>
  <c r="G1711" i="14"/>
  <c r="H3048" i="14" a="1"/>
  <c r="H3746" i="14" a="1"/>
  <c r="G365" i="14"/>
  <c r="G3101" i="14"/>
  <c r="F561" i="14"/>
  <c r="H990" i="14" a="1"/>
  <c r="H4964" i="14" a="1"/>
  <c r="G1531" i="14"/>
  <c r="H4268" i="14" a="1"/>
  <c r="F2543" i="14"/>
  <c r="H2250" i="14" a="1"/>
  <c r="H1620" i="14" a="1"/>
  <c r="G173" i="14"/>
  <c r="G3573" i="14"/>
  <c r="G3834" i="14"/>
  <c r="H3126" i="14" a="1"/>
  <c r="F3226" i="14"/>
  <c r="H1710" i="14" a="1"/>
  <c r="H2430" i="14" a="1"/>
  <c r="H2521" i="14" a="1"/>
  <c r="H4094" i="14" a="1"/>
  <c r="G4182" i="14"/>
  <c r="H3659" i="14" a="1"/>
  <c r="F240" i="14"/>
  <c r="F4096" i="14"/>
  <c r="G1621" i="14"/>
  <c r="F3180" i="14"/>
  <c r="G429" i="14"/>
  <c r="F4357" i="14"/>
  <c r="H3833" i="14" a="1"/>
  <c r="G5053" i="14"/>
  <c r="H3022" i="14" a="1"/>
  <c r="G558" i="14"/>
  <c r="H1890" i="14" a="1"/>
  <c r="G1081" i="14"/>
  <c r="F3127" i="14"/>
  <c r="G3312" i="14"/>
  <c r="F3313" i="14"/>
  <c r="H3074" i="14" a="1"/>
  <c r="H2070" i="14" l="1"/>
  <c r="H5052" i="14"/>
  <c r="H2521" i="14"/>
  <c r="H3485" i="14"/>
  <c r="H1710" i="14"/>
  <c r="H3659" i="14"/>
  <c r="H3179" i="14"/>
  <c r="H720" i="14"/>
  <c r="H300" i="14"/>
  <c r="H2250" i="14"/>
  <c r="H4007" i="14"/>
  <c r="H46" i="14"/>
  <c r="H2160" i="14"/>
  <c r="H428" i="14"/>
  <c r="H630" i="14"/>
  <c r="H1800" i="14"/>
  <c r="H810" i="14"/>
  <c r="H3048" i="14"/>
  <c r="H4181" i="14"/>
  <c r="H108" i="14"/>
  <c r="H3224" i="14"/>
  <c r="H4529" i="14"/>
  <c r="H2340" i="14"/>
  <c r="H1440" i="14"/>
  <c r="H3022" i="14"/>
  <c r="H4877" i="14"/>
  <c r="H172" i="14"/>
  <c r="H3074" i="14"/>
  <c r="H900" i="14"/>
  <c r="H4442" i="14"/>
  <c r="H4355" i="14"/>
  <c r="H4703" i="14"/>
  <c r="H364" i="14"/>
  <c r="H4616" i="14"/>
  <c r="H1980" i="14"/>
  <c r="H3398" i="14"/>
  <c r="H557" i="14"/>
  <c r="H4964" i="14"/>
  <c r="H3126" i="14"/>
  <c r="H3311" i="14"/>
  <c r="H1620" i="14"/>
  <c r="H4094" i="14"/>
  <c r="H3100" i="14"/>
  <c r="H2430" i="14"/>
  <c r="H3152" i="14"/>
  <c r="H3572" i="14"/>
  <c r="H990" i="14"/>
  <c r="H1350" i="14"/>
  <c r="H3746" i="14"/>
  <c r="H1170" i="14"/>
  <c r="H236" i="14"/>
  <c r="H4268" i="14"/>
  <c r="H1260" i="14"/>
  <c r="H1080" i="14"/>
  <c r="H4790" i="14"/>
  <c r="H1890" i="14"/>
  <c r="H1530" i="14"/>
  <c r="H3920" i="14"/>
  <c r="H3833" i="14"/>
  <c r="H492" i="14"/>
  <c r="C1983" i="14"/>
  <c r="B3129" i="14"/>
  <c r="C4880" i="14"/>
  <c r="B498" i="14"/>
  <c r="C903" i="14"/>
  <c r="C3155" i="14"/>
  <c r="C1893" i="14"/>
  <c r="C813" i="14"/>
  <c r="B4098" i="14"/>
  <c r="C4010" i="14"/>
  <c r="C3401" i="14"/>
  <c r="C4793" i="14"/>
  <c r="C4619" i="14"/>
  <c r="B3576" i="14"/>
  <c r="B4707" i="14"/>
  <c r="B3181" i="14"/>
  <c r="B4794" i="14"/>
  <c r="C4532" i="14"/>
  <c r="C2523" i="14"/>
  <c r="C303" i="14"/>
  <c r="C4445" i="14"/>
  <c r="B2545" i="14"/>
  <c r="C4271" i="14"/>
  <c r="B4446" i="14"/>
  <c r="C1443" i="14"/>
  <c r="B3402" i="14"/>
  <c r="C2433" i="14"/>
  <c r="C1713" i="14"/>
  <c r="B178" i="14"/>
  <c r="B114" i="14"/>
  <c r="C993" i="14"/>
  <c r="C3662" i="14"/>
  <c r="C3181" i="14"/>
  <c r="C723" i="14"/>
  <c r="C633" i="14"/>
  <c r="C559" i="14"/>
  <c r="C4184" i="14"/>
  <c r="B4272" i="14"/>
  <c r="B4968" i="14"/>
  <c r="C1263" i="14"/>
  <c r="C1173" i="14"/>
  <c r="C3488" i="14"/>
  <c r="B2452" i="14"/>
  <c r="C3314" i="14"/>
  <c r="C3227" i="14"/>
  <c r="C3575" i="14"/>
  <c r="C4097" i="14"/>
  <c r="B3924" i="14"/>
  <c r="B434" i="14"/>
  <c r="C1353" i="14"/>
  <c r="C495" i="14"/>
  <c r="B5055" i="14"/>
  <c r="C367" i="14"/>
  <c r="C5054" i="14"/>
  <c r="B4533" i="14"/>
  <c r="B3103" i="14"/>
  <c r="C49" i="14"/>
  <c r="C431" i="14"/>
  <c r="C3129" i="14"/>
  <c r="C4967" i="14"/>
  <c r="B4881" i="14"/>
  <c r="B306" i="14"/>
  <c r="B4185" i="14"/>
  <c r="C1803" i="14"/>
  <c r="B4620" i="14"/>
  <c r="C2073" i="14"/>
  <c r="C3749" i="14"/>
  <c r="C4358" i="14"/>
  <c r="B3837" i="14"/>
  <c r="B370" i="14"/>
  <c r="C175" i="14"/>
  <c r="C111" i="14"/>
  <c r="B3489" i="14"/>
  <c r="C1533" i="14"/>
  <c r="C2253" i="14"/>
  <c r="B562" i="14"/>
  <c r="B242" i="14"/>
  <c r="C4706" i="14"/>
  <c r="C2343" i="14"/>
  <c r="B4359" i="14"/>
  <c r="C3836" i="14"/>
  <c r="B696" i="14"/>
  <c r="B632" i="14"/>
  <c r="B3750" i="14"/>
  <c r="C1083" i="14"/>
  <c r="B3228" i="14"/>
  <c r="B3315" i="14"/>
  <c r="C3923" i="14"/>
  <c r="C1623" i="14"/>
  <c r="B3663" i="14"/>
  <c r="B3155" i="14"/>
  <c r="B4011" i="14"/>
  <c r="B48" i="14"/>
  <c r="C239" i="14"/>
  <c r="C3103" i="14"/>
  <c r="C2163" i="14"/>
  <c r="F3749" i="14"/>
  <c r="H811" i="14" a="1"/>
  <c r="G2072" i="14"/>
  <c r="G3748" i="14"/>
  <c r="H3153" i="14" a="1"/>
  <c r="H1981" i="14" a="1"/>
  <c r="F696" i="14"/>
  <c r="F5055" i="14"/>
  <c r="H2431" i="14" a="1"/>
  <c r="F4271" i="14"/>
  <c r="F3836" i="14"/>
  <c r="G3226" i="14"/>
  <c r="F4706" i="14"/>
  <c r="G1532" i="14"/>
  <c r="H3660" i="14" a="1"/>
  <c r="H3573" i="14" a="1"/>
  <c r="F4184" i="14"/>
  <c r="H1891" i="14" a="1"/>
  <c r="F3128" i="14"/>
  <c r="G902" i="14"/>
  <c r="H3225" i="14" a="1"/>
  <c r="G2432" i="14"/>
  <c r="G5054" i="14"/>
  <c r="G722" i="14"/>
  <c r="G3076" i="14"/>
  <c r="F305" i="14"/>
  <c r="G302" i="14"/>
  <c r="H991" i="14" a="1"/>
  <c r="H558" i="14" a="1"/>
  <c r="F3314" i="14"/>
  <c r="G3400" i="14"/>
  <c r="H901" i="14" a="1"/>
  <c r="F3181" i="14"/>
  <c r="G3661" i="14"/>
  <c r="G4966" i="14"/>
  <c r="H237" i="14" a="1"/>
  <c r="G4792" i="14"/>
  <c r="G3313" i="14"/>
  <c r="H301" i="14" a="1"/>
  <c r="F3401" i="14"/>
  <c r="H3180" i="14" a="1"/>
  <c r="G4183" i="14"/>
  <c r="H1801" i="14" a="1"/>
  <c r="H3127" i="14" a="1"/>
  <c r="H4269" i="14" a="1"/>
  <c r="H1531" i="14" a="1"/>
  <c r="G1352" i="14"/>
  <c r="H3921" i="14" a="1"/>
  <c r="G3102" i="14"/>
  <c r="H3312" i="14" a="1"/>
  <c r="F3227" i="14"/>
  <c r="G632" i="14"/>
  <c r="G1262" i="14"/>
  <c r="G2252" i="14"/>
  <c r="H4704" i="14" a="1"/>
  <c r="H2071" i="14" a="1"/>
  <c r="F3154" i="14"/>
  <c r="H4617" i="14" a="1"/>
  <c r="F4358" i="14"/>
  <c r="H3101" i="14" a="1"/>
  <c r="F4445" i="14"/>
  <c r="H2161" i="14" a="1"/>
  <c r="F4880" i="14"/>
  <c r="G1172" i="14"/>
  <c r="H365" i="14" a="1"/>
  <c r="G4705" i="14"/>
  <c r="F4793" i="14"/>
  <c r="H2251" i="14" a="1"/>
  <c r="H3834" i="14" a="1"/>
  <c r="H1081" i="14" a="1"/>
  <c r="G812" i="14"/>
  <c r="G174" i="14"/>
  <c r="F433" i="14"/>
  <c r="G3835" i="14"/>
  <c r="H47" i="14" a="1"/>
  <c r="G430" i="14"/>
  <c r="F3662" i="14"/>
  <c r="G1622" i="14"/>
  <c r="H1351" i="14" a="1"/>
  <c r="G3181" i="14"/>
  <c r="G4618" i="14"/>
  <c r="H173" i="14" a="1"/>
  <c r="H4356" i="14" a="1"/>
  <c r="F2451" i="14"/>
  <c r="H1711" i="14" a="1"/>
  <c r="H4791" i="14" a="1"/>
  <c r="G1082" i="14"/>
  <c r="G4009" i="14"/>
  <c r="F3923" i="14"/>
  <c r="G1982" i="14"/>
  <c r="F562" i="14"/>
  <c r="H4965" i="14" a="1"/>
  <c r="H1621" i="14" a="1"/>
  <c r="G238" i="14"/>
  <c r="H1441" i="14" a="1"/>
  <c r="G4357" i="14"/>
  <c r="G1802" i="14"/>
  <c r="G1892" i="14"/>
  <c r="F113" i="14"/>
  <c r="H4530" i="14" a="1"/>
  <c r="H429" i="14" a="1"/>
  <c r="H3747" i="14" a="1"/>
  <c r="G992" i="14"/>
  <c r="H5053" i="14" a="1"/>
  <c r="F631" i="14"/>
  <c r="G3922" i="14"/>
  <c r="F4619" i="14"/>
  <c r="F4967" i="14"/>
  <c r="G3574" i="14"/>
  <c r="G3154" i="14"/>
  <c r="H2522" i="14" a="1"/>
  <c r="H2341" i="14" a="1"/>
  <c r="G4879" i="14"/>
  <c r="G1442" i="14"/>
  <c r="F4010" i="14"/>
  <c r="G4270" i="14"/>
  <c r="H1171" i="14" a="1"/>
  <c r="G4444" i="14"/>
  <c r="F3575" i="14"/>
  <c r="F3488" i="14"/>
  <c r="F3102" i="14"/>
  <c r="F241" i="14"/>
  <c r="F4097" i="14"/>
  <c r="H4443" i="14" a="1"/>
  <c r="F369" i="14"/>
  <c r="G3128" i="14"/>
  <c r="F497" i="14"/>
  <c r="H4008" i="14" a="1"/>
  <c r="G2523" i="14"/>
  <c r="H4878" i="14" a="1"/>
  <c r="F3076" i="14"/>
  <c r="H721" i="14" a="1"/>
  <c r="H109" i="14" a="1"/>
  <c r="H3075" i="14" a="1"/>
  <c r="G4531" i="14"/>
  <c r="F47" i="14"/>
  <c r="F2544" i="14"/>
  <c r="H493" i="14" a="1"/>
  <c r="F177" i="14"/>
  <c r="H631" i="14" a="1"/>
  <c r="G559" i="14"/>
  <c r="G2342" i="14"/>
  <c r="G366" i="14"/>
  <c r="H4095" i="14" a="1"/>
  <c r="H3399" i="14" a="1"/>
  <c r="G1712" i="14"/>
  <c r="G3487" i="14"/>
  <c r="H3486" i="14" a="1"/>
  <c r="F4532" i="14"/>
  <c r="H4182" i="14" a="1"/>
  <c r="G4096" i="14"/>
  <c r="H3049" i="14" a="1"/>
  <c r="G110" i="14"/>
  <c r="G494" i="14"/>
  <c r="H1261" i="14" a="1"/>
  <c r="G48" i="14"/>
  <c r="G2162" i="14"/>
  <c r="H5053" i="14" l="1"/>
  <c r="H109" i="14"/>
  <c r="H721" i="14"/>
  <c r="H901" i="14"/>
  <c r="H3834" i="14"/>
  <c r="H3225" i="14"/>
  <c r="H558" i="14"/>
  <c r="H991" i="14"/>
  <c r="H1711" i="14"/>
  <c r="H3127" i="14"/>
  <c r="H1801" i="14"/>
  <c r="H4530" i="14"/>
  <c r="H173" i="14"/>
  <c r="H1351" i="14"/>
  <c r="H1441" i="14"/>
  <c r="H1621" i="14"/>
  <c r="H4965" i="14"/>
  <c r="H2341" i="14"/>
  <c r="H2522" i="14"/>
  <c r="H4356" i="14"/>
  <c r="H3153" i="14"/>
  <c r="H811" i="14"/>
  <c r="H2251" i="14"/>
  <c r="H3573" i="14"/>
  <c r="H3660" i="14"/>
  <c r="H4095" i="14"/>
  <c r="H429" i="14"/>
  <c r="H1981" i="14"/>
  <c r="H4182" i="14"/>
  <c r="H3486" i="14"/>
  <c r="H1891" i="14"/>
  <c r="H47" i="14"/>
  <c r="H1261" i="14"/>
  <c r="H3747" i="14"/>
  <c r="H4791" i="14"/>
  <c r="H1081" i="14"/>
  <c r="H3101" i="14"/>
  <c r="H493" i="14"/>
  <c r="H4617" i="14"/>
  <c r="H3399" i="14"/>
  <c r="H365" i="14"/>
  <c r="H4704" i="14"/>
  <c r="H2431" i="14"/>
  <c r="H631" i="14"/>
  <c r="H3312" i="14"/>
  <c r="H4008" i="14"/>
  <c r="H3921" i="14"/>
  <c r="H2071" i="14"/>
  <c r="H3075" i="14"/>
  <c r="H4269" i="14"/>
  <c r="H3049" i="14"/>
  <c r="H4878" i="14"/>
  <c r="H3180" i="14"/>
  <c r="H1171" i="14"/>
  <c r="H301" i="14"/>
  <c r="H1531" i="14"/>
  <c r="H4443" i="14"/>
  <c r="H237" i="14"/>
  <c r="H2161" i="14"/>
  <c r="B179" i="14"/>
  <c r="B115" i="14"/>
  <c r="C240" i="14"/>
  <c r="C814" i="14"/>
  <c r="C304" i="14"/>
  <c r="C1174" i="14"/>
  <c r="C3924" i="14"/>
  <c r="B3577" i="14"/>
  <c r="B3130" i="14"/>
  <c r="C3402" i="14"/>
  <c r="C1354" i="14"/>
  <c r="C2524" i="14"/>
  <c r="C4359" i="14"/>
  <c r="B4795" i="14"/>
  <c r="C3489" i="14"/>
  <c r="C4968" i="14"/>
  <c r="C1714" i="14"/>
  <c r="B4447" i="14"/>
  <c r="C4446" i="14"/>
  <c r="C1894" i="14"/>
  <c r="C5055" i="14"/>
  <c r="B4012" i="14"/>
  <c r="B2453" i="14"/>
  <c r="B5056" i="14"/>
  <c r="C634" i="14"/>
  <c r="C724" i="14"/>
  <c r="C1084" i="14"/>
  <c r="B3490" i="14"/>
  <c r="B2546" i="14"/>
  <c r="B3664" i="14"/>
  <c r="B49" i="14"/>
  <c r="B3838" i="14"/>
  <c r="C3156" i="14"/>
  <c r="C3837" i="14"/>
  <c r="C2074" i="14"/>
  <c r="C2254" i="14"/>
  <c r="C3663" i="14"/>
  <c r="C3576" i="14"/>
  <c r="B4360" i="14"/>
  <c r="C1534" i="14"/>
  <c r="C4533" i="14"/>
  <c r="B4882" i="14"/>
  <c r="C4707" i="14"/>
  <c r="B4186" i="14"/>
  <c r="C994" i="14"/>
  <c r="C3130" i="14"/>
  <c r="B3403" i="14"/>
  <c r="C4794" i="14"/>
  <c r="C2164" i="14"/>
  <c r="C496" i="14"/>
  <c r="C1444" i="14"/>
  <c r="C1264" i="14"/>
  <c r="C4272" i="14"/>
  <c r="B4534" i="14"/>
  <c r="C4881" i="14"/>
  <c r="C904" i="14"/>
  <c r="B563" i="14"/>
  <c r="C4620" i="14"/>
  <c r="C4098" i="14"/>
  <c r="C3182" i="14"/>
  <c r="B3156" i="14"/>
  <c r="B4273" i="14"/>
  <c r="B4621" i="14"/>
  <c r="B243" i="14"/>
  <c r="B697" i="14"/>
  <c r="B633" i="14"/>
  <c r="C2434" i="14"/>
  <c r="C2344" i="14"/>
  <c r="B435" i="14"/>
  <c r="B371" i="14"/>
  <c r="B3182" i="14"/>
  <c r="B3229" i="14"/>
  <c r="B3316" i="14"/>
  <c r="C1624" i="14"/>
  <c r="B3925" i="14"/>
  <c r="B499" i="14"/>
  <c r="C1804" i="14"/>
  <c r="C368" i="14"/>
  <c r="C176" i="14"/>
  <c r="C112" i="14"/>
  <c r="C4185" i="14"/>
  <c r="B4099" i="14"/>
  <c r="C4011" i="14"/>
  <c r="C560" i="14"/>
  <c r="B3751" i="14"/>
  <c r="B307" i="14"/>
  <c r="B4708" i="14"/>
  <c r="B4969" i="14"/>
  <c r="C50" i="14"/>
  <c r="C432" i="14"/>
  <c r="C3315" i="14"/>
  <c r="C3228" i="14"/>
  <c r="C3750" i="14"/>
  <c r="C1984" i="14"/>
  <c r="G903" i="14"/>
  <c r="F2452" i="14"/>
  <c r="H3748" i="14" a="1"/>
  <c r="F3155" i="14"/>
  <c r="H812" i="14" a="1"/>
  <c r="G3129" i="14"/>
  <c r="G3155" i="14"/>
  <c r="H2523" i="14" a="1"/>
  <c r="F3837" i="14"/>
  <c r="G2073" i="14"/>
  <c r="G4967" i="14"/>
  <c r="H992" i="14" a="1"/>
  <c r="F4446" i="14"/>
  <c r="H4444" i="14" a="1"/>
  <c r="F114" i="14"/>
  <c r="H3574" i="14" a="1"/>
  <c r="G560" i="14"/>
  <c r="H2342" i="14" a="1"/>
  <c r="F3924" i="14"/>
  <c r="G633" i="14"/>
  <c r="G1173" i="14"/>
  <c r="G3749" i="14"/>
  <c r="G495" i="14"/>
  <c r="H1262" i="14" a="1"/>
  <c r="G3314" i="14"/>
  <c r="G1533" i="14"/>
  <c r="H3102" i="14" a="1"/>
  <c r="H2072" i="14" a="1"/>
  <c r="G4706" i="14"/>
  <c r="H3226" i="14" a="1"/>
  <c r="H494" i="14" a="1"/>
  <c r="H1082" i="14" a="1"/>
  <c r="G2343" i="14"/>
  <c r="G3182" i="14"/>
  <c r="G3103" i="14"/>
  <c r="H430" i="14" a="1"/>
  <c r="H4618" i="14" a="1"/>
  <c r="H3487" i="14" a="1"/>
  <c r="H4270" i="14" a="1"/>
  <c r="H174" i="14" a="1"/>
  <c r="H48" i="14" a="1"/>
  <c r="G1713" i="14"/>
  <c r="F4794" i="14"/>
  <c r="H1802" i="14" a="1"/>
  <c r="F4968" i="14"/>
  <c r="H3922" i="14" a="1"/>
  <c r="G1623" i="14"/>
  <c r="F4707" i="14"/>
  <c r="G723" i="14"/>
  <c r="F4533" i="14"/>
  <c r="G3227" i="14"/>
  <c r="H2432" i="14" a="1"/>
  <c r="G175" i="14"/>
  <c r="G4880" i="14"/>
  <c r="G367" i="14"/>
  <c r="G2253" i="14"/>
  <c r="H902" i="14" a="1"/>
  <c r="F2545" i="14"/>
  <c r="H110" i="14" a="1"/>
  <c r="H722" i="14" a="1"/>
  <c r="G2524" i="14"/>
  <c r="H1712" i="14" a="1"/>
  <c r="F4011" i="14"/>
  <c r="H4357" i="14" a="1"/>
  <c r="H1172" i="14" a="1"/>
  <c r="G3662" i="14"/>
  <c r="G303" i="14"/>
  <c r="H366" i="14" a="1"/>
  <c r="H3835" i="14" a="1"/>
  <c r="G111" i="14"/>
  <c r="H4096" i="14" a="1"/>
  <c r="G1353" i="14"/>
  <c r="F3129" i="14"/>
  <c r="G1893" i="14"/>
  <c r="H559" i="14" a="1"/>
  <c r="F3182" i="14"/>
  <c r="G49" i="14"/>
  <c r="H3661" i="14" a="1"/>
  <c r="G5055" i="14"/>
  <c r="H4183" i="14" a="1"/>
  <c r="G3923" i="14"/>
  <c r="F3228" i="14"/>
  <c r="F3489" i="14"/>
  <c r="F3663" i="14"/>
  <c r="G4010" i="14"/>
  <c r="F3103" i="14"/>
  <c r="H3076" i="14" a="1"/>
  <c r="G3836" i="14"/>
  <c r="H3400" i="14" a="1"/>
  <c r="F178" i="14"/>
  <c r="H4879" i="14" a="1"/>
  <c r="G239" i="14"/>
  <c r="H4705" i="14" a="1"/>
  <c r="F434" i="14"/>
  <c r="H4009" i="14" a="1"/>
  <c r="H2162" i="14" a="1"/>
  <c r="H1982" i="14" a="1"/>
  <c r="F632" i="14"/>
  <c r="G2163" i="14"/>
  <c r="G4097" i="14"/>
  <c r="F242" i="14"/>
  <c r="G431" i="14"/>
  <c r="F4620" i="14"/>
  <c r="H1532" i="14" a="1"/>
  <c r="F306" i="14"/>
  <c r="G813" i="14"/>
  <c r="G1983" i="14"/>
  <c r="F3576" i="14"/>
  <c r="H632" i="14" a="1"/>
  <c r="G1803" i="14"/>
  <c r="G4793" i="14"/>
  <c r="F697" i="14"/>
  <c r="G1083" i="14"/>
  <c r="F3315" i="14"/>
  <c r="H2252" i="14" a="1"/>
  <c r="G4619" i="14"/>
  <c r="G4184" i="14"/>
  <c r="F3402" i="14"/>
  <c r="G4532" i="14"/>
  <c r="G4445" i="14"/>
  <c r="F370" i="14"/>
  <c r="H238" i="14" a="1"/>
  <c r="G4358" i="14"/>
  <c r="F4881" i="14"/>
  <c r="G3401" i="14"/>
  <c r="H1892" i="14" a="1"/>
  <c r="H1442" i="14" a="1"/>
  <c r="H4966" i="14" a="1"/>
  <c r="H3128" i="14" a="1"/>
  <c r="F4185" i="14"/>
  <c r="H5054" i="14" a="1"/>
  <c r="G1263" i="14"/>
  <c r="H1352" i="14" a="1"/>
  <c r="H3313" i="14" a="1"/>
  <c r="F4359" i="14"/>
  <c r="H3181" i="14" a="1"/>
  <c r="F498" i="14"/>
  <c r="F3750" i="14"/>
  <c r="F48" i="14"/>
  <c r="G993" i="14"/>
  <c r="F5056" i="14"/>
  <c r="H302" i="14" a="1"/>
  <c r="G4271" i="14"/>
  <c r="F4098" i="14"/>
  <c r="H1622" i="14" a="1"/>
  <c r="H4531" i="14" a="1"/>
  <c r="F4272" i="14"/>
  <c r="G2433" i="14"/>
  <c r="G3488" i="14"/>
  <c r="G1443" i="14"/>
  <c r="F563" i="14"/>
  <c r="H4792" i="14" a="1"/>
  <c r="H3154" i="14" a="1"/>
  <c r="G3575" i="14"/>
  <c r="H4966" i="14" l="1"/>
  <c r="H494" i="14"/>
  <c r="H1622" i="14"/>
  <c r="H1172" i="14"/>
  <c r="H4618" i="14"/>
  <c r="H1802" i="14"/>
  <c r="H3076" i="14"/>
  <c r="H2523" i="14"/>
  <c r="H174" i="14"/>
  <c r="H2162" i="14"/>
  <c r="H902" i="14"/>
  <c r="H3313" i="14"/>
  <c r="H2072" i="14"/>
  <c r="H430" i="14"/>
  <c r="H2432" i="14"/>
  <c r="H3835" i="14"/>
  <c r="H1082" i="14"/>
  <c r="H3661" i="14"/>
  <c r="H1892" i="14"/>
  <c r="H3922" i="14"/>
  <c r="H4879" i="14"/>
  <c r="H3102" i="14"/>
  <c r="H992" i="14"/>
  <c r="H722" i="14"/>
  <c r="H1982" i="14"/>
  <c r="H3748" i="14"/>
  <c r="H3487" i="14"/>
  <c r="H2252" i="14"/>
  <c r="H3574" i="14"/>
  <c r="H3400" i="14"/>
  <c r="H4096" i="14"/>
  <c r="H3128" i="14"/>
  <c r="H4183" i="14"/>
  <c r="H4531" i="14"/>
  <c r="H3226" i="14"/>
  <c r="H1532" i="14"/>
  <c r="H3154" i="14"/>
  <c r="H4444" i="14"/>
  <c r="H1712" i="14"/>
  <c r="H48" i="14"/>
  <c r="H812" i="14"/>
  <c r="H3181" i="14"/>
  <c r="H4009" i="14"/>
  <c r="H4705" i="14"/>
  <c r="H4357" i="14"/>
  <c r="H4792" i="14"/>
  <c r="H5054" i="14"/>
  <c r="H632" i="14"/>
  <c r="H366" i="14"/>
  <c r="H1442" i="14"/>
  <c r="H559" i="14"/>
  <c r="H2342" i="14"/>
  <c r="H1352" i="14"/>
  <c r="H302" i="14"/>
  <c r="H238" i="14"/>
  <c r="H1262" i="14"/>
  <c r="H110" i="14"/>
  <c r="H4270" i="14"/>
  <c r="C4795" i="14"/>
  <c r="C4012" i="14"/>
  <c r="C305" i="14"/>
  <c r="C497" i="14"/>
  <c r="B4187" i="14"/>
  <c r="B3404" i="14"/>
  <c r="B308" i="14"/>
  <c r="C2345" i="14"/>
  <c r="B3926" i="14"/>
  <c r="B3578" i="14"/>
  <c r="C5056" i="14"/>
  <c r="B3665" i="14"/>
  <c r="C2075" i="14"/>
  <c r="B3839" i="14"/>
  <c r="C1895" i="14"/>
  <c r="B3230" i="14"/>
  <c r="B3317" i="14"/>
  <c r="C995" i="14"/>
  <c r="C1355" i="14"/>
  <c r="C4882" i="14"/>
  <c r="B4274" i="14"/>
  <c r="C1625" i="14"/>
  <c r="C1445" i="14"/>
  <c r="B2454" i="14"/>
  <c r="C3229" i="14"/>
  <c r="C3316" i="14"/>
  <c r="B4622" i="14"/>
  <c r="B3752" i="14"/>
  <c r="C815" i="14"/>
  <c r="B4100" i="14"/>
  <c r="B4883" i="14"/>
  <c r="C3490" i="14"/>
  <c r="B244" i="14"/>
  <c r="C3403" i="14"/>
  <c r="C4099" i="14"/>
  <c r="C241" i="14"/>
  <c r="B4013" i="14"/>
  <c r="B436" i="14"/>
  <c r="B634" i="14"/>
  <c r="B698" i="14"/>
  <c r="B4361" i="14"/>
  <c r="C4708" i="14"/>
  <c r="C561" i="14"/>
  <c r="C3157" i="14"/>
  <c r="C3925" i="14"/>
  <c r="C725" i="14"/>
  <c r="C635" i="14"/>
  <c r="C4447" i="14"/>
  <c r="C3838" i="14"/>
  <c r="C4273" i="14"/>
  <c r="C4534" i="14"/>
  <c r="B4709" i="14"/>
  <c r="C4969" i="14"/>
  <c r="C2165" i="14"/>
  <c r="B4535" i="14"/>
  <c r="C1265" i="14"/>
  <c r="B180" i="14"/>
  <c r="B116" i="14"/>
  <c r="C113" i="14"/>
  <c r="C177" i="14"/>
  <c r="C3664" i="14"/>
  <c r="B4796" i="14"/>
  <c r="C1715" i="14"/>
  <c r="C4360" i="14"/>
  <c r="C1085" i="14"/>
  <c r="C3751" i="14"/>
  <c r="C1805" i="14"/>
  <c r="B3157" i="14"/>
  <c r="C369" i="14"/>
  <c r="C51" i="14"/>
  <c r="B564" i="14"/>
  <c r="C2435" i="14"/>
  <c r="B3491" i="14"/>
  <c r="B4448" i="14"/>
  <c r="C1175" i="14"/>
  <c r="C3577" i="14"/>
  <c r="C4186" i="14"/>
  <c r="C1535" i="14"/>
  <c r="B50" i="14"/>
  <c r="B5057" i="14"/>
  <c r="C2525" i="14"/>
  <c r="B4970" i="14"/>
  <c r="B372" i="14"/>
  <c r="C433" i="14"/>
  <c r="B500" i="14"/>
  <c r="B3183" i="14"/>
  <c r="C2255" i="14"/>
  <c r="C4621" i="14"/>
  <c r="C3183" i="14"/>
  <c r="B2547" i="14"/>
  <c r="C1985" i="14"/>
  <c r="C905" i="14"/>
  <c r="H239" i="14" a="1"/>
  <c r="G814" i="14"/>
  <c r="G4794" i="14"/>
  <c r="H4619" i="14" a="1"/>
  <c r="F499" i="14"/>
  <c r="H2343" i="14" a="1"/>
  <c r="H4097" i="14" a="1"/>
  <c r="G1984" i="14"/>
  <c r="G3402" i="14"/>
  <c r="F698" i="14"/>
  <c r="H3103" i="14" a="1"/>
  <c r="F633" i="14"/>
  <c r="H2433" i="14" a="1"/>
  <c r="F5057" i="14"/>
  <c r="H3749" i="14" a="1"/>
  <c r="H723" i="14" a="1"/>
  <c r="G496" i="14"/>
  <c r="F3577" i="14"/>
  <c r="F4534" i="14"/>
  <c r="G176" i="14"/>
  <c r="H1623" i="14" a="1"/>
  <c r="F4621" i="14"/>
  <c r="F179" i="14"/>
  <c r="H3575" i="14" a="1"/>
  <c r="H4358" i="14" a="1"/>
  <c r="G304" i="14"/>
  <c r="H3836" i="14" a="1"/>
  <c r="G4446" i="14"/>
  <c r="G4881" i="14"/>
  <c r="H49" i="14" a="1"/>
  <c r="F3183" i="14"/>
  <c r="G1084" i="14"/>
  <c r="F4273" i="14"/>
  <c r="G3924" i="14"/>
  <c r="H1803" i="14" a="1"/>
  <c r="H2163" i="14" a="1"/>
  <c r="G3489" i="14"/>
  <c r="F4099" i="14"/>
  <c r="G1264" i="14"/>
  <c r="H303" i="14" a="1"/>
  <c r="H1983" i="14" a="1"/>
  <c r="G1174" i="14"/>
  <c r="H431" i="14" a="1"/>
  <c r="H5055" i="14" a="1"/>
  <c r="G4185" i="14"/>
  <c r="F3156" i="14"/>
  <c r="G4011" i="14"/>
  <c r="G724" i="14"/>
  <c r="G2344" i="14"/>
  <c r="H4184" i="14" a="1"/>
  <c r="G4272" i="14"/>
  <c r="F3316" i="14"/>
  <c r="F564" i="14"/>
  <c r="G4620" i="14"/>
  <c r="H2253" i="14" a="1"/>
  <c r="F3751" i="14"/>
  <c r="F4012" i="14"/>
  <c r="G1444" i="14"/>
  <c r="F4795" i="14"/>
  <c r="H3227" i="14" a="1"/>
  <c r="F307" i="14"/>
  <c r="H495" i="14" a="1"/>
  <c r="H4445" i="14" a="1"/>
  <c r="F3664" i="14"/>
  <c r="G3183" i="14"/>
  <c r="F4360" i="14"/>
  <c r="H560" i="14" a="1"/>
  <c r="H175" i="14" a="1"/>
  <c r="H813" i="14" a="1"/>
  <c r="F2546" i="14"/>
  <c r="G1894" i="14"/>
  <c r="G1354" i="14"/>
  <c r="G1714" i="14"/>
  <c r="H993" i="14" a="1"/>
  <c r="G3750" i="14"/>
  <c r="H1533" i="14" a="1"/>
  <c r="G3156" i="14"/>
  <c r="F3403" i="14"/>
  <c r="G3228" i="14"/>
  <c r="F4969" i="14"/>
  <c r="H1083" i="14" a="1"/>
  <c r="H3155" i="14" a="1"/>
  <c r="F435" i="14"/>
  <c r="G4968" i="14"/>
  <c r="G50" i="14"/>
  <c r="F3925" i="14"/>
  <c r="G240" i="14"/>
  <c r="H1443" i="14" a="1"/>
  <c r="F371" i="14"/>
  <c r="H3182" i="14" a="1"/>
  <c r="H3314" i="14" a="1"/>
  <c r="G3576" i="14"/>
  <c r="G1804" i="14"/>
  <c r="H4967" i="14" a="1"/>
  <c r="H4010" i="14" a="1"/>
  <c r="G1624" i="14"/>
  <c r="G561" i="14"/>
  <c r="G3837" i="14"/>
  <c r="G994" i="14"/>
  <c r="F2453" i="14"/>
  <c r="H3401" i="14" a="1"/>
  <c r="H3129" i="14" a="1"/>
  <c r="F115" i="14"/>
  <c r="F4447" i="14"/>
  <c r="H633" i="14" a="1"/>
  <c r="G3130" i="14"/>
  <c r="H1353" i="14" a="1"/>
  <c r="G4359" i="14"/>
  <c r="H903" i="14" a="1"/>
  <c r="F3838" i="14"/>
  <c r="H4271" i="14" a="1"/>
  <c r="H4532" i="14" a="1"/>
  <c r="F49" i="14"/>
  <c r="H1893" i="14" a="1"/>
  <c r="G3315" i="14"/>
  <c r="H3923" i="14" a="1"/>
  <c r="F4882" i="14"/>
  <c r="F4708" i="14"/>
  <c r="G904" i="14"/>
  <c r="F3229" i="14"/>
  <c r="G368" i="14"/>
  <c r="G2254" i="14"/>
  <c r="G5056" i="14"/>
  <c r="G112" i="14"/>
  <c r="H3488" i="14" a="1"/>
  <c r="H4880" i="14" a="1"/>
  <c r="G432" i="14"/>
  <c r="H4793" i="14" a="1"/>
  <c r="F3490" i="14"/>
  <c r="G634" i="14"/>
  <c r="G2074" i="14"/>
  <c r="G1534" i="14"/>
  <c r="H3662" i="14" a="1"/>
  <c r="H2073" i="14" a="1"/>
  <c r="H111" i="14" a="1"/>
  <c r="G4533" i="14"/>
  <c r="H367" i="14" a="1"/>
  <c r="G4098" i="14"/>
  <c r="G2164" i="14"/>
  <c r="H1713" i="14" a="1"/>
  <c r="G2525" i="14"/>
  <c r="G2434" i="14"/>
  <c r="G3663" i="14"/>
  <c r="F243" i="14"/>
  <c r="H2524" i="14" a="1"/>
  <c r="F3130" i="14"/>
  <c r="H1263" i="14" a="1"/>
  <c r="H4706" i="14" a="1"/>
  <c r="H1173" i="14" a="1"/>
  <c r="F4186" i="14"/>
  <c r="G4707" i="14"/>
  <c r="H4271" i="14" l="1"/>
  <c r="H5055" i="14"/>
  <c r="H3103" i="14"/>
  <c r="H3155" i="14"/>
  <c r="H1083" i="14"/>
  <c r="H4619" i="14"/>
  <c r="H1893" i="14"/>
  <c r="H4532" i="14"/>
  <c r="H4358" i="14"/>
  <c r="H1803" i="14"/>
  <c r="H1263" i="14"/>
  <c r="H4097" i="14"/>
  <c r="H4967" i="14"/>
  <c r="H175" i="14"/>
  <c r="H633" i="14"/>
  <c r="H3836" i="14"/>
  <c r="H367" i="14"/>
  <c r="H3401" i="14"/>
  <c r="H495" i="14"/>
  <c r="H2524" i="14"/>
  <c r="H2343" i="14"/>
  <c r="H2073" i="14"/>
  <c r="H4010" i="14"/>
  <c r="H3314" i="14"/>
  <c r="H2163" i="14"/>
  <c r="H1443" i="14"/>
  <c r="H4793" i="14"/>
  <c r="H3227" i="14"/>
  <c r="H813" i="14"/>
  <c r="H3488" i="14"/>
  <c r="H1533" i="14"/>
  <c r="H723" i="14"/>
  <c r="H3129" i="14"/>
  <c r="H2433" i="14"/>
  <c r="H431" i="14"/>
  <c r="H4880" i="14"/>
  <c r="H111" i="14"/>
  <c r="H303" i="14"/>
  <c r="H239" i="14"/>
  <c r="H993" i="14"/>
  <c r="H3182" i="14"/>
  <c r="H4706" i="14"/>
  <c r="H903" i="14"/>
  <c r="H1983" i="14"/>
  <c r="H4184" i="14"/>
  <c r="H49" i="14"/>
  <c r="H560" i="14"/>
  <c r="H1713" i="14"/>
  <c r="H3749" i="14"/>
  <c r="H4445" i="14"/>
  <c r="H3575" i="14"/>
  <c r="H1353" i="14"/>
  <c r="H3923" i="14"/>
  <c r="H1623" i="14"/>
  <c r="H3662" i="14"/>
  <c r="H2253" i="14"/>
  <c r="H1173" i="14"/>
  <c r="C2076" i="14"/>
  <c r="B437" i="14"/>
  <c r="C1266" i="14"/>
  <c r="B309" i="14"/>
  <c r="C906" i="14"/>
  <c r="C1626" i="14"/>
  <c r="C3839" i="14"/>
  <c r="B4449" i="14"/>
  <c r="C370" i="14"/>
  <c r="B3927" i="14"/>
  <c r="B3666" i="14"/>
  <c r="B3492" i="14"/>
  <c r="B565" i="14"/>
  <c r="C4274" i="14"/>
  <c r="C3752" i="14"/>
  <c r="C1356" i="14"/>
  <c r="B4797" i="14"/>
  <c r="B699" i="14"/>
  <c r="B635" i="14"/>
  <c r="C4187" i="14"/>
  <c r="B4971" i="14"/>
  <c r="C1086" i="14"/>
  <c r="C4100" i="14"/>
  <c r="B2548" i="14"/>
  <c r="C4013" i="14"/>
  <c r="B3579" i="14"/>
  <c r="C434" i="14"/>
  <c r="C1176" i="14"/>
  <c r="C4535" i="14"/>
  <c r="C3184" i="14"/>
  <c r="B4710" i="14"/>
  <c r="C498" i="14"/>
  <c r="C4448" i="14"/>
  <c r="C3491" i="14"/>
  <c r="B4188" i="14"/>
  <c r="C3404" i="14"/>
  <c r="B4014" i="14"/>
  <c r="C4361" i="14"/>
  <c r="B4101" i="14"/>
  <c r="C2436" i="14"/>
  <c r="B3840" i="14"/>
  <c r="C4970" i="14"/>
  <c r="C1986" i="14"/>
  <c r="B5058" i="14"/>
  <c r="B245" i="14"/>
  <c r="C5057" i="14"/>
  <c r="C3578" i="14"/>
  <c r="C1536" i="14"/>
  <c r="C1446" i="14"/>
  <c r="B3184" i="14"/>
  <c r="C242" i="14"/>
  <c r="B4623" i="14"/>
  <c r="C1716" i="14"/>
  <c r="C996" i="14"/>
  <c r="C4709" i="14"/>
  <c r="C3665" i="14"/>
  <c r="C2526" i="14"/>
  <c r="C114" i="14"/>
  <c r="C178" i="14"/>
  <c r="C4622" i="14"/>
  <c r="C636" i="14"/>
  <c r="C726" i="14"/>
  <c r="C4796" i="14"/>
  <c r="B501" i="14"/>
  <c r="C3230" i="14"/>
  <c r="C3317" i="14"/>
  <c r="B3405" i="14"/>
  <c r="C2166" i="14"/>
  <c r="B4275" i="14"/>
  <c r="C4883" i="14"/>
  <c r="C2346" i="14"/>
  <c r="C1806" i="14"/>
  <c r="C2256" i="14"/>
  <c r="B3753" i="14"/>
  <c r="B4536" i="14"/>
  <c r="C52" i="14"/>
  <c r="B181" i="14"/>
  <c r="B117" i="14"/>
  <c r="C3926" i="14"/>
  <c r="C306" i="14"/>
  <c r="B2455" i="14"/>
  <c r="B4884" i="14"/>
  <c r="B373" i="14"/>
  <c r="B51" i="14"/>
  <c r="C1896" i="14"/>
  <c r="C816" i="14"/>
  <c r="B4362" i="14"/>
  <c r="B3231" i="14"/>
  <c r="B3318" i="14"/>
  <c r="C562" i="14"/>
  <c r="H4620" i="14" a="1"/>
  <c r="G1535" i="14"/>
  <c r="G2345" i="14"/>
  <c r="H1084" i="14" a="1"/>
  <c r="G433" i="14"/>
  <c r="H1714" i="14" a="1"/>
  <c r="G497" i="14"/>
  <c r="G3157" i="14"/>
  <c r="H1624" i="14" a="1"/>
  <c r="G1895" i="14"/>
  <c r="G4447" i="14"/>
  <c r="G2075" i="14"/>
  <c r="H724" i="14" a="1"/>
  <c r="H1174" i="14" a="1"/>
  <c r="F116" i="14"/>
  <c r="H634" i="14" a="1"/>
  <c r="G1805" i="14"/>
  <c r="H2164" i="14" a="1"/>
  <c r="F180" i="14"/>
  <c r="H1534" i="14" a="1"/>
  <c r="H2434" i="14" a="1"/>
  <c r="H3489" i="14" a="1"/>
  <c r="H4968" i="14" a="1"/>
  <c r="F634" i="14"/>
  <c r="F4448" i="14"/>
  <c r="F4796" i="14"/>
  <c r="H4881" i="14" a="1"/>
  <c r="F244" i="14"/>
  <c r="H3315" i="14" a="1"/>
  <c r="G3577" i="14"/>
  <c r="H240" i="14" a="1"/>
  <c r="H994" i="14" a="1"/>
  <c r="H1354" i="14" a="1"/>
  <c r="G3229" i="14"/>
  <c r="H4272" i="14" a="1"/>
  <c r="G1985" i="14"/>
  <c r="G725" i="14"/>
  <c r="F372" i="14"/>
  <c r="F4970" i="14"/>
  <c r="H3663" i="14" a="1"/>
  <c r="H1804" i="14" a="1"/>
  <c r="G3316" i="14"/>
  <c r="H4185" i="14" a="1"/>
  <c r="F3926" i="14"/>
  <c r="F3157" i="14"/>
  <c r="F500" i="14"/>
  <c r="F3230" i="14"/>
  <c r="G3664" i="14"/>
  <c r="F4883" i="14"/>
  <c r="H1894" i="14" a="1"/>
  <c r="H4794" i="14" a="1"/>
  <c r="G3403" i="14"/>
  <c r="G177" i="14"/>
  <c r="G5057" i="14"/>
  <c r="H904" i="14" a="1"/>
  <c r="H1444" i="14" a="1"/>
  <c r="H112" i="14" a="1"/>
  <c r="F3665" i="14"/>
  <c r="G2165" i="14"/>
  <c r="H3750" i="14" a="1"/>
  <c r="F50" i="14"/>
  <c r="F3491" i="14"/>
  <c r="F2547" i="14"/>
  <c r="G4882" i="14"/>
  <c r="F3839" i="14"/>
  <c r="G4969" i="14"/>
  <c r="G113" i="14"/>
  <c r="H3156" i="14" a="1"/>
  <c r="F4535" i="14"/>
  <c r="H368" i="14" a="1"/>
  <c r="F699" i="14"/>
  <c r="G51" i="14"/>
  <c r="H3228" i="14" a="1"/>
  <c r="F4622" i="14"/>
  <c r="G3751" i="14"/>
  <c r="H2074" i="14" a="1"/>
  <c r="F4361" i="14"/>
  <c r="H4359" i="14" a="1"/>
  <c r="F3184" i="14"/>
  <c r="G4534" i="14"/>
  <c r="H4098" i="14" a="1"/>
  <c r="G995" i="14"/>
  <c r="F436" i="14"/>
  <c r="G4795" i="14"/>
  <c r="F4100" i="14"/>
  <c r="H1264" i="14" a="1"/>
  <c r="G1175" i="14"/>
  <c r="G3925" i="14"/>
  <c r="G4099" i="14"/>
  <c r="H2344" i="14" a="1"/>
  <c r="G1085" i="14"/>
  <c r="G3490" i="14"/>
  <c r="G1715" i="14"/>
  <c r="G4186" i="14"/>
  <c r="F3404" i="14"/>
  <c r="G2255" i="14"/>
  <c r="F3578" i="14"/>
  <c r="F565" i="14"/>
  <c r="H432" i="14" a="1"/>
  <c r="H496" i="14" a="1"/>
  <c r="F308" i="14"/>
  <c r="G3838" i="14"/>
  <c r="F5058" i="14"/>
  <c r="H2254" i="14" a="1"/>
  <c r="G4360" i="14"/>
  <c r="G1445" i="14"/>
  <c r="F3752" i="14"/>
  <c r="F3317" i="14"/>
  <c r="H5056" i="14" a="1"/>
  <c r="G2526" i="14"/>
  <c r="H4533" i="14" a="1"/>
  <c r="F4274" i="14"/>
  <c r="G1355" i="14"/>
  <c r="G1625" i="14"/>
  <c r="G1265" i="14"/>
  <c r="G4708" i="14"/>
  <c r="G3184" i="14"/>
  <c r="H304" i="14" a="1"/>
  <c r="G4273" i="14"/>
  <c r="F4187" i="14"/>
  <c r="H176" i="14" a="1"/>
  <c r="H1984" i="14" a="1"/>
  <c r="H3924" i="14" a="1"/>
  <c r="G562" i="14"/>
  <c r="G369" i="14"/>
  <c r="G305" i="14"/>
  <c r="H4446" i="14" a="1"/>
  <c r="H3576" i="14" a="1"/>
  <c r="H2525" i="14" a="1"/>
  <c r="G4012" i="14"/>
  <c r="G4621" i="14"/>
  <c r="G905" i="14"/>
  <c r="F4709" i="14"/>
  <c r="F4013" i="14"/>
  <c r="G815" i="14"/>
  <c r="F2454" i="14"/>
  <c r="H3837" i="14" a="1"/>
  <c r="H3402" i="14" a="1"/>
  <c r="H4707" i="14" a="1"/>
  <c r="H3130" i="14" a="1"/>
  <c r="H3183" i="14" a="1"/>
  <c r="H4011" i="14" a="1"/>
  <c r="G635" i="14"/>
  <c r="G2435" i="14"/>
  <c r="G241" i="14"/>
  <c r="H50" i="14" a="1"/>
  <c r="H814" i="14" a="1"/>
  <c r="H561" i="14" a="1"/>
  <c r="H2254" i="14" l="1"/>
  <c r="H3315" i="14"/>
  <c r="H3228" i="14"/>
  <c r="H4272" i="14"/>
  <c r="H634" i="14"/>
  <c r="H1264" i="14"/>
  <c r="H724" i="14"/>
  <c r="H1894" i="14"/>
  <c r="H2434" i="14"/>
  <c r="H1534" i="14"/>
  <c r="H4620" i="14"/>
  <c r="H496" i="14"/>
  <c r="H814" i="14"/>
  <c r="H1174" i="14"/>
  <c r="H1804" i="14"/>
  <c r="H3663" i="14"/>
  <c r="H4359" i="14"/>
  <c r="H2074" i="14"/>
  <c r="H3130" i="14"/>
  <c r="H2344" i="14"/>
  <c r="H3402" i="14"/>
  <c r="H50" i="14"/>
  <c r="H994" i="14"/>
  <c r="H240" i="14"/>
  <c r="H1714" i="14"/>
  <c r="H1084" i="14"/>
  <c r="H904" i="14"/>
  <c r="H2164" i="14"/>
  <c r="H3576" i="14"/>
  <c r="H3837" i="14"/>
  <c r="H368" i="14"/>
  <c r="H3489" i="14"/>
  <c r="H4011" i="14"/>
  <c r="H3183" i="14"/>
  <c r="H176" i="14"/>
  <c r="H561" i="14"/>
  <c r="H4185" i="14"/>
  <c r="H4446" i="14"/>
  <c r="H4968" i="14"/>
  <c r="H4098" i="14"/>
  <c r="H112" i="14"/>
  <c r="H1444" i="14"/>
  <c r="H4533" i="14"/>
  <c r="H4707" i="14"/>
  <c r="H5056" i="14"/>
  <c r="H304" i="14"/>
  <c r="H3750" i="14"/>
  <c r="H1624" i="14"/>
  <c r="H3924" i="14"/>
  <c r="H1984" i="14"/>
  <c r="H4881" i="14"/>
  <c r="H2525" i="14"/>
  <c r="H432" i="14"/>
  <c r="H1354" i="14"/>
  <c r="H4794" i="14"/>
  <c r="H3156" i="14"/>
  <c r="C499" i="14"/>
  <c r="B438" i="14"/>
  <c r="C4014" i="14"/>
  <c r="C4971" i="14"/>
  <c r="C3405" i="14"/>
  <c r="C817" i="14"/>
  <c r="C1807" i="14"/>
  <c r="C1537" i="14"/>
  <c r="B310" i="14"/>
  <c r="B4102" i="14"/>
  <c r="C4101" i="14"/>
  <c r="C1447" i="14"/>
  <c r="B3580" i="14"/>
  <c r="B3841" i="14"/>
  <c r="C3318" i="14"/>
  <c r="C3231" i="14"/>
  <c r="C727" i="14"/>
  <c r="C637" i="14"/>
  <c r="C3753" i="14"/>
  <c r="C1627" i="14"/>
  <c r="C3492" i="14"/>
  <c r="C563" i="14"/>
  <c r="B4537" i="14"/>
  <c r="B374" i="14"/>
  <c r="B4711" i="14"/>
  <c r="B2549" i="14"/>
  <c r="C3840" i="14"/>
  <c r="C3927" i="14"/>
  <c r="C1987" i="14"/>
  <c r="C2347" i="14"/>
  <c r="C4710" i="14"/>
  <c r="B3754" i="14"/>
  <c r="C53" i="14"/>
  <c r="C2257" i="14"/>
  <c r="B566" i="14"/>
  <c r="C243" i="14"/>
  <c r="C2077" i="14"/>
  <c r="B4189" i="14"/>
  <c r="B4798" i="14"/>
  <c r="C4188" i="14"/>
  <c r="B700" i="14"/>
  <c r="B636" i="14"/>
  <c r="B3406" i="14"/>
  <c r="B52" i="14"/>
  <c r="C371" i="14"/>
  <c r="C179" i="14"/>
  <c r="C115" i="14"/>
  <c r="C1087" i="14"/>
  <c r="C4449" i="14"/>
  <c r="C3579" i="14"/>
  <c r="C1177" i="14"/>
  <c r="C4362" i="14"/>
  <c r="B4015" i="14"/>
  <c r="C1717" i="14"/>
  <c r="B502" i="14"/>
  <c r="C907" i="14"/>
  <c r="B182" i="14"/>
  <c r="B118" i="14"/>
  <c r="C2527" i="14"/>
  <c r="C1267" i="14"/>
  <c r="C4275" i="14"/>
  <c r="C1357" i="14"/>
  <c r="B246" i="14"/>
  <c r="C307" i="14"/>
  <c r="C3666" i="14"/>
  <c r="B3319" i="14"/>
  <c r="B3232" i="14"/>
  <c r="B4624" i="14"/>
  <c r="B3493" i="14"/>
  <c r="C4884" i="14"/>
  <c r="C5058" i="14"/>
  <c r="B3667" i="14"/>
  <c r="C435" i="14"/>
  <c r="C997" i="14"/>
  <c r="B4972" i="14"/>
  <c r="B4363" i="14"/>
  <c r="B4276" i="14"/>
  <c r="B2456" i="14"/>
  <c r="C1897" i="14"/>
  <c r="C4797" i="14"/>
  <c r="B4450" i="14"/>
  <c r="C2437" i="14"/>
  <c r="B3928" i="14"/>
  <c r="C4536" i="14"/>
  <c r="C4623" i="14"/>
  <c r="B5059" i="14"/>
  <c r="B4885" i="14"/>
  <c r="C2167" i="14"/>
  <c r="H3751" i="14" a="1"/>
  <c r="G1086" i="14"/>
  <c r="H5057" i="14" a="1"/>
  <c r="G114" i="14"/>
  <c r="H2345" i="14" a="1"/>
  <c r="G2436" i="14"/>
  <c r="F4623" i="14"/>
  <c r="F3231" i="14"/>
  <c r="H3184" i="14" a="1"/>
  <c r="F501" i="14"/>
  <c r="G3404" i="14"/>
  <c r="H497" i="14" a="1"/>
  <c r="G2076" i="14"/>
  <c r="G3839" i="14"/>
  <c r="G1626" i="14"/>
  <c r="F4101" i="14"/>
  <c r="F5059" i="14"/>
  <c r="H1355" i="14" a="1"/>
  <c r="H4534" i="14" a="1"/>
  <c r="F437" i="14"/>
  <c r="G4622" i="14"/>
  <c r="F2548" i="14"/>
  <c r="H2435" i="14" a="1"/>
  <c r="G4013" i="14"/>
  <c r="F3579" i="14"/>
  <c r="H1265" i="14" a="1"/>
  <c r="G2527" i="14"/>
  <c r="H4969" i="14" a="1"/>
  <c r="G4970" i="14"/>
  <c r="G3491" i="14"/>
  <c r="G1806" i="14"/>
  <c r="H3838" i="14" a="1"/>
  <c r="F4536" i="14"/>
  <c r="G370" i="14"/>
  <c r="H1805" i="14" a="1"/>
  <c r="H433" i="14" a="1"/>
  <c r="H2255" i="14" a="1"/>
  <c r="F3927" i="14"/>
  <c r="F3753" i="14"/>
  <c r="G816" i="14"/>
  <c r="H4621" i="14" a="1"/>
  <c r="H177" i="14" a="1"/>
  <c r="H2165" i="14" a="1"/>
  <c r="G4100" i="14"/>
  <c r="F4449" i="14"/>
  <c r="H815" i="14" a="1"/>
  <c r="G1986" i="14"/>
  <c r="G5058" i="14"/>
  <c r="G1446" i="14"/>
  <c r="H305" i="14" a="1"/>
  <c r="F3405" i="14"/>
  <c r="H4273" i="14" a="1"/>
  <c r="F4797" i="14"/>
  <c r="G1536" i="14"/>
  <c r="H725" i="14" a="1"/>
  <c r="G52" i="14"/>
  <c r="G563" i="14"/>
  <c r="F635" i="14"/>
  <c r="G3578" i="14"/>
  <c r="F51" i="14"/>
  <c r="G434" i="14"/>
  <c r="H3229" i="14" a="1"/>
  <c r="H1445" i="14" a="1"/>
  <c r="H4447" i="14" a="1"/>
  <c r="H4186" i="14" a="1"/>
  <c r="F3666" i="14"/>
  <c r="F4971" i="14"/>
  <c r="F2455" i="14"/>
  <c r="G1896" i="14"/>
  <c r="F4188" i="14"/>
  <c r="G3230" i="14"/>
  <c r="H3925" i="14" a="1"/>
  <c r="F117" i="14"/>
  <c r="G636" i="14"/>
  <c r="G178" i="14"/>
  <c r="H1985" i="14" a="1"/>
  <c r="G4274" i="14"/>
  <c r="H1715" i="14" a="1"/>
  <c r="G906" i="14"/>
  <c r="H3403" i="14" a="1"/>
  <c r="G4187" i="14"/>
  <c r="G3752" i="14"/>
  <c r="H3490" i="14" a="1"/>
  <c r="F3840" i="14"/>
  <c r="H995" i="14" a="1"/>
  <c r="H635" i="14" a="1"/>
  <c r="F4275" i="14"/>
  <c r="G4883" i="14"/>
  <c r="F245" i="14"/>
  <c r="H4099" i="14" a="1"/>
  <c r="F309" i="14"/>
  <c r="H369" i="14" a="1"/>
  <c r="H1085" i="14" a="1"/>
  <c r="G996" i="14"/>
  <c r="G2256" i="14"/>
  <c r="H2526" i="14" a="1"/>
  <c r="G3665" i="14"/>
  <c r="F3318" i="14"/>
  <c r="H4012" i="14" a="1"/>
  <c r="G1356" i="14"/>
  <c r="H1625" i="14" a="1"/>
  <c r="F4884" i="14"/>
  <c r="G1266" i="14"/>
  <c r="H241" i="14" a="1"/>
  <c r="H3316" i="14" a="1"/>
  <c r="F4362" i="14"/>
  <c r="G4709" i="14"/>
  <c r="H113" i="14" a="1"/>
  <c r="F566" i="14"/>
  <c r="H3577" i="14" a="1"/>
  <c r="G2346" i="14"/>
  <c r="G2166" i="14"/>
  <c r="G498" i="14"/>
  <c r="G1716" i="14"/>
  <c r="H51" i="14" a="1"/>
  <c r="H1535" i="14" a="1"/>
  <c r="H4882" i="14" a="1"/>
  <c r="F4014" i="14"/>
  <c r="H4795" i="14" a="1"/>
  <c r="G4535" i="14"/>
  <c r="G4448" i="14"/>
  <c r="H2075" i="14" a="1"/>
  <c r="G3317" i="14"/>
  <c r="H1175" i="14" a="1"/>
  <c r="H1895" i="14" a="1"/>
  <c r="H562" i="14" a="1"/>
  <c r="F700" i="14"/>
  <c r="G4361" i="14"/>
  <c r="G3926" i="14"/>
  <c r="G242" i="14"/>
  <c r="H4360" i="14" a="1"/>
  <c r="H905" i="14" a="1"/>
  <c r="G4796" i="14"/>
  <c r="F181" i="14"/>
  <c r="F3492" i="14"/>
  <c r="G726" i="14"/>
  <c r="G1176" i="14"/>
  <c r="G306" i="14"/>
  <c r="F4710" i="14"/>
  <c r="H4708" i="14" a="1"/>
  <c r="F373" i="14"/>
  <c r="H3157" i="14" a="1"/>
  <c r="H3664" i="14" a="1"/>
  <c r="H3157" i="14" l="1"/>
  <c r="H1085" i="14"/>
  <c r="H3490" i="14"/>
  <c r="H305" i="14"/>
  <c r="H4795" i="14"/>
  <c r="H5057" i="14"/>
  <c r="H725" i="14"/>
  <c r="H1355" i="14"/>
  <c r="H3229" i="14"/>
  <c r="H905" i="14"/>
  <c r="H497" i="14"/>
  <c r="H1715" i="14"/>
  <c r="H3577" i="14"/>
  <c r="H4447" i="14"/>
  <c r="H4882" i="14"/>
  <c r="H3664" i="14"/>
  <c r="H1175" i="14"/>
  <c r="H4273" i="14"/>
  <c r="H4708" i="14"/>
  <c r="H4621" i="14"/>
  <c r="H1625" i="14"/>
  <c r="H562" i="14"/>
  <c r="H113" i="14"/>
  <c r="H1445" i="14"/>
  <c r="H51" i="14"/>
  <c r="H2165" i="14"/>
  <c r="H4360" i="14"/>
  <c r="H3838" i="14"/>
  <c r="H369" i="14"/>
  <c r="H815" i="14"/>
  <c r="H4969" i="14"/>
  <c r="H1895" i="14"/>
  <c r="H1805" i="14"/>
  <c r="H3316" i="14"/>
  <c r="H2075" i="14"/>
  <c r="H2435" i="14"/>
  <c r="H1985" i="14"/>
  <c r="H2255" i="14"/>
  <c r="H4534" i="14"/>
  <c r="H1535" i="14"/>
  <c r="H1265" i="14"/>
  <c r="H2526" i="14"/>
  <c r="H177" i="14"/>
  <c r="H3403" i="14"/>
  <c r="H2345" i="14"/>
  <c r="H4012" i="14"/>
  <c r="H3925" i="14"/>
  <c r="H433" i="14"/>
  <c r="H635" i="14"/>
  <c r="H995" i="14"/>
  <c r="H241" i="14"/>
  <c r="H3184" i="14"/>
  <c r="H4186" i="14"/>
  <c r="H4099" i="14"/>
  <c r="H3751" i="14"/>
  <c r="C244" i="14"/>
  <c r="C2348" i="14"/>
  <c r="C1808" i="14"/>
  <c r="C818" i="14"/>
  <c r="B183" i="14"/>
  <c r="B119" i="14"/>
  <c r="C1718" i="14"/>
  <c r="C3406" i="14"/>
  <c r="C1898" i="14"/>
  <c r="B2457" i="14"/>
  <c r="C4972" i="14"/>
  <c r="C3754" i="14"/>
  <c r="B247" i="14"/>
  <c r="B4103" i="14"/>
  <c r="B53" i="14"/>
  <c r="C4276" i="14"/>
  <c r="B3842" i="14"/>
  <c r="B439" i="14"/>
  <c r="C4189" i="14"/>
  <c r="C4102" i="14"/>
  <c r="C4885" i="14"/>
  <c r="B3755" i="14"/>
  <c r="C2438" i="14"/>
  <c r="B2550" i="14"/>
  <c r="C728" i="14"/>
  <c r="C638" i="14"/>
  <c r="B375" i="14"/>
  <c r="C2168" i="14"/>
  <c r="C54" i="14"/>
  <c r="C3580" i="14"/>
  <c r="B4016" i="14"/>
  <c r="B5060" i="14"/>
  <c r="C1448" i="14"/>
  <c r="B3407" i="14"/>
  <c r="C4537" i="14"/>
  <c r="C4711" i="14"/>
  <c r="C1268" i="14"/>
  <c r="B4277" i="14"/>
  <c r="B311" i="14"/>
  <c r="C5059" i="14"/>
  <c r="B4973" i="14"/>
  <c r="C1988" i="14"/>
  <c r="B3320" i="14"/>
  <c r="B3233" i="14"/>
  <c r="C436" i="14"/>
  <c r="C2078" i="14"/>
  <c r="B4799" i="14"/>
  <c r="C3232" i="14"/>
  <c r="C3319" i="14"/>
  <c r="C1538" i="14"/>
  <c r="C1628" i="14"/>
  <c r="C2528" i="14"/>
  <c r="C1088" i="14"/>
  <c r="C308" i="14"/>
  <c r="C4015" i="14"/>
  <c r="B4538" i="14"/>
  <c r="C500" i="14"/>
  <c r="B3581" i="14"/>
  <c r="C4363" i="14"/>
  <c r="C998" i="14"/>
  <c r="C4450" i="14"/>
  <c r="C3928" i="14"/>
  <c r="B4625" i="14"/>
  <c r="C3841" i="14"/>
  <c r="B4364" i="14"/>
  <c r="C372" i="14"/>
  <c r="C1358" i="14"/>
  <c r="C1178" i="14"/>
  <c r="B3494" i="14"/>
  <c r="B4886" i="14"/>
  <c r="C4798" i="14"/>
  <c r="B3929" i="14"/>
  <c r="B4190" i="14"/>
  <c r="C908" i="14"/>
  <c r="B503" i="14"/>
  <c r="B4451" i="14"/>
  <c r="B4712" i="14"/>
  <c r="B567" i="14"/>
  <c r="B3668" i="14"/>
  <c r="C3667" i="14"/>
  <c r="B701" i="14"/>
  <c r="B637" i="14"/>
  <c r="C2258" i="14"/>
  <c r="C4624" i="14"/>
  <c r="C116" i="14"/>
  <c r="C180" i="14"/>
  <c r="C3493" i="14"/>
  <c r="C564" i="14"/>
  <c r="H1626" i="14" a="1"/>
  <c r="G1717" i="14"/>
  <c r="H3491" i="14" a="1"/>
  <c r="F4276" i="14"/>
  <c r="H726" i="14" a="1"/>
  <c r="F4015" i="14"/>
  <c r="G3840" i="14"/>
  <c r="H1356" i="14" a="1"/>
  <c r="G907" i="14"/>
  <c r="H52" i="14" a="1"/>
  <c r="G727" i="14"/>
  <c r="G371" i="14"/>
  <c r="G4188" i="14"/>
  <c r="F52" i="14"/>
  <c r="H114" i="14" a="1"/>
  <c r="F2549" i="14"/>
  <c r="H1176" i="14" a="1"/>
  <c r="G4362" i="14"/>
  <c r="F3406" i="14"/>
  <c r="G2437" i="14"/>
  <c r="H1266" i="14" a="1"/>
  <c r="H4622" i="14" a="1"/>
  <c r="G3579" i="14"/>
  <c r="H1806" i="14" a="1"/>
  <c r="G3492" i="14"/>
  <c r="G4014" i="14"/>
  <c r="F438" i="14"/>
  <c r="H1716" i="14" a="1"/>
  <c r="G4797" i="14"/>
  <c r="F3493" i="14"/>
  <c r="G564" i="14"/>
  <c r="G243" i="14"/>
  <c r="F3232" i="14"/>
  <c r="H2436" i="14" a="1"/>
  <c r="F4798" i="14"/>
  <c r="G3405" i="14"/>
  <c r="H906" i="14" a="1"/>
  <c r="G4884" i="14"/>
  <c r="H816" i="14" a="1"/>
  <c r="F3319" i="14"/>
  <c r="F502" i="14"/>
  <c r="G3666" i="14"/>
  <c r="H306" i="14" a="1"/>
  <c r="F4711" i="14"/>
  <c r="F310" i="14"/>
  <c r="H4100" i="14" a="1"/>
  <c r="G4623" i="14"/>
  <c r="F4624" i="14"/>
  <c r="H434" i="14" a="1"/>
  <c r="G3753" i="14"/>
  <c r="G2167" i="14"/>
  <c r="H498" i="14" a="1"/>
  <c r="H4970" i="14" a="1"/>
  <c r="F246" i="14"/>
  <c r="G1357" i="14"/>
  <c r="H3926" i="14" a="1"/>
  <c r="G2077" i="14"/>
  <c r="H3752" i="14" a="1"/>
  <c r="G307" i="14"/>
  <c r="H4796" i="14" a="1"/>
  <c r="H2166" i="14" a="1"/>
  <c r="G1537" i="14"/>
  <c r="H1896" i="14" a="1"/>
  <c r="F4450" i="14"/>
  <c r="H3317" i="14" a="1"/>
  <c r="G179" i="14"/>
  <c r="F4189" i="14"/>
  <c r="H3665" i="14" a="1"/>
  <c r="G1897" i="14"/>
  <c r="G435" i="14"/>
  <c r="H1446" i="14" a="1"/>
  <c r="F4102" i="14"/>
  <c r="H1086" i="14" a="1"/>
  <c r="F3667" i="14"/>
  <c r="H2076" i="14" a="1"/>
  <c r="G2347" i="14"/>
  <c r="F3928" i="14"/>
  <c r="H3839" i="14" a="1"/>
  <c r="G1987" i="14"/>
  <c r="G1627" i="14"/>
  <c r="F182" i="14"/>
  <c r="F3580" i="14"/>
  <c r="F636" i="14"/>
  <c r="G115" i="14"/>
  <c r="H2527" i="14" a="1"/>
  <c r="F2456" i="14"/>
  <c r="H4187" i="14" a="1"/>
  <c r="G53" i="14"/>
  <c r="H4013" i="14" a="1"/>
  <c r="F4885" i="14"/>
  <c r="G3318" i="14"/>
  <c r="G1267" i="14"/>
  <c r="F3841" i="14"/>
  <c r="F374" i="14"/>
  <c r="H2256" i="14" a="1"/>
  <c r="G4101" i="14"/>
  <c r="H4709" i="14" a="1"/>
  <c r="H5058" i="14" a="1"/>
  <c r="G499" i="14"/>
  <c r="H4448" i="14" a="1"/>
  <c r="F4363" i="14"/>
  <c r="G4275" i="14"/>
  <c r="H370" i="14" a="1"/>
  <c r="F4537" i="14"/>
  <c r="F567" i="14"/>
  <c r="H1536" i="14" a="1"/>
  <c r="H178" i="14" a="1"/>
  <c r="G2257" i="14"/>
  <c r="G4449" i="14"/>
  <c r="H4535" i="14" a="1"/>
  <c r="G5059" i="14"/>
  <c r="H996" i="14" a="1"/>
  <c r="H3230" i="14" a="1"/>
  <c r="G637" i="14"/>
  <c r="H4274" i="14" a="1"/>
  <c r="F701" i="14"/>
  <c r="H242" i="14" a="1"/>
  <c r="F5060" i="14"/>
  <c r="F4972" i="14"/>
  <c r="G4710" i="14"/>
  <c r="H563" i="14" a="1"/>
  <c r="G3231" i="14"/>
  <c r="F3754" i="14"/>
  <c r="H3578" i="14" a="1"/>
  <c r="G3927" i="14"/>
  <c r="G2528" i="14"/>
  <c r="H3404" i="14" a="1"/>
  <c r="G4536" i="14"/>
  <c r="G817" i="14"/>
  <c r="H4883" i="14" a="1"/>
  <c r="G997" i="14"/>
  <c r="G1087" i="14"/>
  <c r="H2346" i="14" a="1"/>
  <c r="F118" i="14"/>
  <c r="G1177" i="14"/>
  <c r="G1447" i="14"/>
  <c r="G1807" i="14"/>
  <c r="H636" i="14" a="1"/>
  <c r="G4971" i="14"/>
  <c r="H1986" i="14" a="1"/>
  <c r="H4361" i="14" a="1"/>
  <c r="H4622" i="14" l="1"/>
  <c r="H3926" i="14"/>
  <c r="H1086" i="14"/>
  <c r="H4100" i="14"/>
  <c r="H1536" i="14"/>
  <c r="H2527" i="14"/>
  <c r="H3665" i="14"/>
  <c r="H52" i="14"/>
  <c r="H3839" i="14"/>
  <c r="H242" i="14"/>
  <c r="H3491" i="14"/>
  <c r="H178" i="14"/>
  <c r="H4709" i="14"/>
  <c r="H114" i="14"/>
  <c r="H4883" i="14"/>
  <c r="H636" i="14"/>
  <c r="H1356" i="14"/>
  <c r="H816" i="14"/>
  <c r="H1896" i="14"/>
  <c r="H5058" i="14"/>
  <c r="H4187" i="14"/>
  <c r="H1986" i="14"/>
  <c r="H498" i="14"/>
  <c r="H996" i="14"/>
  <c r="H3317" i="14"/>
  <c r="H4448" i="14"/>
  <c r="H3578" i="14"/>
  <c r="H4013" i="14"/>
  <c r="H1176" i="14"/>
  <c r="H4796" i="14"/>
  <c r="H306" i="14"/>
  <c r="H3752" i="14"/>
  <c r="H3404" i="14"/>
  <c r="H1266" i="14"/>
  <c r="H4274" i="14"/>
  <c r="H1446" i="14"/>
  <c r="H4361" i="14"/>
  <c r="H563" i="14"/>
  <c r="H2436" i="14"/>
  <c r="H370" i="14"/>
  <c r="H434" i="14"/>
  <c r="H2076" i="14"/>
  <c r="H906" i="14"/>
  <c r="H1626" i="14"/>
  <c r="H2166" i="14"/>
  <c r="H3230" i="14"/>
  <c r="H2256" i="14"/>
  <c r="H1806" i="14"/>
  <c r="H4535" i="14"/>
  <c r="H726" i="14"/>
  <c r="H1716" i="14"/>
  <c r="H2346" i="14"/>
  <c r="H4970" i="14"/>
  <c r="C3755" i="14"/>
  <c r="B4626" i="14"/>
  <c r="C1719" i="14"/>
  <c r="B4887" i="14"/>
  <c r="B504" i="14"/>
  <c r="C2169" i="14"/>
  <c r="B3495" i="14"/>
  <c r="B248" i="14"/>
  <c r="C373" i="14"/>
  <c r="C1629" i="14"/>
  <c r="B5061" i="14"/>
  <c r="C1359" i="14"/>
  <c r="B3930" i="14"/>
  <c r="B312" i="14"/>
  <c r="C1989" i="14"/>
  <c r="C909" i="14"/>
  <c r="B4974" i="14"/>
  <c r="C4016" i="14"/>
  <c r="B3669" i="14"/>
  <c r="C501" i="14"/>
  <c r="C1539" i="14"/>
  <c r="B2551" i="14"/>
  <c r="C3842" i="14"/>
  <c r="C3494" i="14"/>
  <c r="B3408" i="14"/>
  <c r="B4191" i="14"/>
  <c r="C4886" i="14"/>
  <c r="B4713" i="14"/>
  <c r="C309" i="14"/>
  <c r="B3756" i="14"/>
  <c r="B568" i="14"/>
  <c r="C1449" i="14"/>
  <c r="C4103" i="14"/>
  <c r="B4365" i="14"/>
  <c r="C729" i="14"/>
  <c r="C639" i="14"/>
  <c r="C4973" i="14"/>
  <c r="C3581" i="14"/>
  <c r="C999" i="14"/>
  <c r="C55" i="14"/>
  <c r="B4278" i="14"/>
  <c r="C565" i="14"/>
  <c r="C4364" i="14"/>
  <c r="C1899" i="14"/>
  <c r="B4539" i="14"/>
  <c r="B440" i="14"/>
  <c r="B3843" i="14"/>
  <c r="C4451" i="14"/>
  <c r="C2079" i="14"/>
  <c r="C3668" i="14"/>
  <c r="C2349" i="14"/>
  <c r="C819" i="14"/>
  <c r="C245" i="14"/>
  <c r="B702" i="14"/>
  <c r="B638" i="14"/>
  <c r="C3407" i="14"/>
  <c r="C4190" i="14"/>
  <c r="C181" i="14"/>
  <c r="C117" i="14"/>
  <c r="B4800" i="14"/>
  <c r="B3582" i="14"/>
  <c r="B4452" i="14"/>
  <c r="C4538" i="14"/>
  <c r="C1179" i="14"/>
  <c r="C4799" i="14"/>
  <c r="C2259" i="14"/>
  <c r="C4277" i="14"/>
  <c r="B54" i="14"/>
  <c r="C1809" i="14"/>
  <c r="B376" i="14"/>
  <c r="B2458" i="14"/>
  <c r="C4712" i="14"/>
  <c r="B120" i="14"/>
  <c r="B184" i="14"/>
  <c r="C437" i="14"/>
  <c r="B4017" i="14"/>
  <c r="C1269" i="14"/>
  <c r="C3929" i="14"/>
  <c r="C1089" i="14"/>
  <c r="C3320" i="14"/>
  <c r="C3233" i="14"/>
  <c r="B3321" i="14"/>
  <c r="B3234" i="14"/>
  <c r="C4625" i="14"/>
  <c r="B4104" i="14"/>
  <c r="C2529" i="14"/>
  <c r="C5060" i="14"/>
  <c r="C2439" i="14"/>
  <c r="H2167" i="14" a="1"/>
  <c r="H2437" i="14" a="1"/>
  <c r="H817" i="14" a="1"/>
  <c r="H435" i="14" a="1"/>
  <c r="G4450" i="14"/>
  <c r="H1447" i="14" a="1"/>
  <c r="G4885" i="14"/>
  <c r="G116" i="14"/>
  <c r="G638" i="14"/>
  <c r="H4449" i="14" a="1"/>
  <c r="G3319" i="14"/>
  <c r="F3842" i="14"/>
  <c r="H3927" i="14" a="1"/>
  <c r="G3493" i="14"/>
  <c r="H179" i="14" a="1"/>
  <c r="F702" i="14"/>
  <c r="G372" i="14"/>
  <c r="G4972" i="14"/>
  <c r="G3232" i="14"/>
  <c r="F4538" i="14"/>
  <c r="H243" i="14" a="1"/>
  <c r="F3407" i="14"/>
  <c r="F3755" i="14"/>
  <c r="H1177" i="14" a="1"/>
  <c r="F4886" i="14"/>
  <c r="G436" i="14"/>
  <c r="G3754" i="14"/>
  <c r="F4712" i="14"/>
  <c r="G2078" i="14"/>
  <c r="G818" i="14"/>
  <c r="G2168" i="14"/>
  <c r="H371" i="14" a="1"/>
  <c r="H1897" i="14" a="1"/>
  <c r="H4710" i="14" a="1"/>
  <c r="F3494" i="14"/>
  <c r="G2348" i="14"/>
  <c r="G1088" i="14"/>
  <c r="G308" i="14"/>
  <c r="F4190" i="14"/>
  <c r="H637" i="14" a="1"/>
  <c r="F53" i="14"/>
  <c r="G4624" i="14"/>
  <c r="G2258" i="14"/>
  <c r="H1267" i="14" a="1"/>
  <c r="H1627" i="14" a="1"/>
  <c r="H4101" i="14" a="1"/>
  <c r="H4884" i="14" a="1"/>
  <c r="G5060" i="14"/>
  <c r="H5059" i="14" a="1"/>
  <c r="H2257" i="14" a="1"/>
  <c r="F503" i="14"/>
  <c r="G4102" i="14"/>
  <c r="H4971" i="14" a="1"/>
  <c r="G2529" i="14"/>
  <c r="G4276" i="14"/>
  <c r="G3928" i="14"/>
  <c r="H307" i="14" a="1"/>
  <c r="H4623" i="14" a="1"/>
  <c r="F3320" i="14"/>
  <c r="G565" i="14"/>
  <c r="F4625" i="14"/>
  <c r="F247" i="14"/>
  <c r="H1087" i="14" a="1"/>
  <c r="F311" i="14"/>
  <c r="G1898" i="14"/>
  <c r="F4016" i="14"/>
  <c r="H2347" i="14" a="1"/>
  <c r="H1537" i="14" a="1"/>
  <c r="H3753" i="14" a="1"/>
  <c r="G1178" i="14"/>
  <c r="H2528" i="14" a="1"/>
  <c r="G998" i="14"/>
  <c r="H4362" i="14" a="1"/>
  <c r="H115" i="14" a="1"/>
  <c r="G3841" i="14"/>
  <c r="H499" i="14" a="1"/>
  <c r="F3929" i="14"/>
  <c r="G4798" i="14"/>
  <c r="F4973" i="14"/>
  <c r="F3233" i="14"/>
  <c r="G3667" i="14"/>
  <c r="G244" i="14"/>
  <c r="F2550" i="14"/>
  <c r="G54" i="14"/>
  <c r="F3668" i="14"/>
  <c r="G1808" i="14"/>
  <c r="G4537" i="14"/>
  <c r="F375" i="14"/>
  <c r="F4277" i="14"/>
  <c r="H1357" i="14" a="1"/>
  <c r="G4189" i="14"/>
  <c r="F439" i="14"/>
  <c r="G3406" i="14"/>
  <c r="G1448" i="14"/>
  <c r="G180" i="14"/>
  <c r="H1987" i="14" a="1"/>
  <c r="G1988" i="14"/>
  <c r="G1358" i="14"/>
  <c r="G500" i="14"/>
  <c r="G4711" i="14"/>
  <c r="F183" i="14"/>
  <c r="G1268" i="14"/>
  <c r="F4799" i="14"/>
  <c r="G1628" i="14"/>
  <c r="F5061" i="14"/>
  <c r="F2457" i="14"/>
  <c r="G2438" i="14"/>
  <c r="H1717" i="14" a="1"/>
  <c r="F4451" i="14"/>
  <c r="G1718" i="14"/>
  <c r="H3840" i="14" a="1"/>
  <c r="H3492" i="14" a="1"/>
  <c r="H3318" i="14" a="1"/>
  <c r="H3666" i="14" a="1"/>
  <c r="G728" i="14"/>
  <c r="F637" i="14"/>
  <c r="G908" i="14"/>
  <c r="F4103" i="14"/>
  <c r="F4364" i="14"/>
  <c r="H4014" i="14" a="1"/>
  <c r="H53" i="14" a="1"/>
  <c r="G4363" i="14"/>
  <c r="F119" i="14"/>
  <c r="H997" i="14" a="1"/>
  <c r="H2077" i="14" a="1"/>
  <c r="H4536" i="14" a="1"/>
  <c r="H4797" i="14" a="1"/>
  <c r="H727" i="14" a="1"/>
  <c r="H1807" i="14" a="1"/>
  <c r="H3405" i="14" a="1"/>
  <c r="H4188" i="14" a="1"/>
  <c r="G4015" i="14"/>
  <c r="H4275" i="14" a="1"/>
  <c r="H3579" i="14" a="1"/>
  <c r="H3231" i="14" a="1"/>
  <c r="G1538" i="14"/>
  <c r="H564" i="14" a="1"/>
  <c r="H907" i="14" a="1"/>
  <c r="F3581" i="14"/>
  <c r="F568" i="14"/>
  <c r="G3580" i="14"/>
  <c r="H2437" i="14" l="1"/>
  <c r="H997" i="14"/>
  <c r="H179" i="14"/>
  <c r="H3927" i="14"/>
  <c r="H2347" i="14"/>
  <c r="H4449" i="14"/>
  <c r="H243" i="14"/>
  <c r="H115" i="14"/>
  <c r="H1357" i="14"/>
  <c r="H2528" i="14"/>
  <c r="H3753" i="14"/>
  <c r="H1537" i="14"/>
  <c r="H1807" i="14"/>
  <c r="H727" i="14"/>
  <c r="H499" i="14"/>
  <c r="H435" i="14"/>
  <c r="H4710" i="14"/>
  <c r="H3666" i="14"/>
  <c r="H4188" i="14"/>
  <c r="H3405" i="14"/>
  <c r="H4884" i="14"/>
  <c r="H564" i="14"/>
  <c r="H1447" i="14"/>
  <c r="H3579" i="14"/>
  <c r="H4362" i="14"/>
  <c r="H2167" i="14"/>
  <c r="H2257" i="14"/>
  <c r="H5059" i="14"/>
  <c r="H907" i="14"/>
  <c r="H307" i="14"/>
  <c r="H3231" i="14"/>
  <c r="H4536" i="14"/>
  <c r="H817" i="14"/>
  <c r="H4275" i="14"/>
  <c r="H3318" i="14"/>
  <c r="H3492" i="14"/>
  <c r="H4623" i="14"/>
  <c r="H4014" i="14"/>
  <c r="H4797" i="14"/>
  <c r="H1627" i="14"/>
  <c r="H1087" i="14"/>
  <c r="H2077" i="14"/>
  <c r="H1897" i="14"/>
  <c r="H371" i="14"/>
  <c r="H53" i="14"/>
  <c r="H3840" i="14"/>
  <c r="H4101" i="14"/>
  <c r="H1717" i="14"/>
  <c r="H4971" i="14"/>
  <c r="H1267" i="14"/>
  <c r="H1987" i="14"/>
  <c r="H1177" i="14"/>
  <c r="H637" i="14"/>
  <c r="C3408" i="14"/>
  <c r="B2459" i="14"/>
  <c r="B4714" i="14"/>
  <c r="B569" i="14"/>
  <c r="C4191" i="14"/>
  <c r="B3496" i="14"/>
  <c r="C1630" i="14"/>
  <c r="B4366" i="14"/>
  <c r="B3322" i="14"/>
  <c r="B3235" i="14"/>
  <c r="C4017" i="14"/>
  <c r="B185" i="14"/>
  <c r="B121" i="14"/>
  <c r="C910" i="14"/>
  <c r="C4539" i="14"/>
  <c r="C640" i="14"/>
  <c r="C730" i="14"/>
  <c r="C1540" i="14"/>
  <c r="B4801" i="14"/>
  <c r="C566" i="14"/>
  <c r="C1450" i="14"/>
  <c r="B4975" i="14"/>
  <c r="B505" i="14"/>
  <c r="C3669" i="14"/>
  <c r="B3844" i="14"/>
  <c r="B2552" i="14"/>
  <c r="C1720" i="14"/>
  <c r="C2260" i="14"/>
  <c r="B4018" i="14"/>
  <c r="C2530" i="14"/>
  <c r="C4713" i="14"/>
  <c r="B441" i="14"/>
  <c r="C2350" i="14"/>
  <c r="C4278" i="14"/>
  <c r="C1000" i="14"/>
  <c r="B3409" i="14"/>
  <c r="C1360" i="14"/>
  <c r="C4887" i="14"/>
  <c r="C1990" i="14"/>
  <c r="C56" i="14"/>
  <c r="C3930" i="14"/>
  <c r="C1810" i="14"/>
  <c r="B4453" i="14"/>
  <c r="C4104" i="14"/>
  <c r="C246" i="14"/>
  <c r="C374" i="14"/>
  <c r="B5062" i="14"/>
  <c r="B4627" i="14"/>
  <c r="C3582" i="14"/>
  <c r="B313" i="14"/>
  <c r="C1900" i="14"/>
  <c r="B3670" i="14"/>
  <c r="C3495" i="14"/>
  <c r="C1270" i="14"/>
  <c r="B4888" i="14"/>
  <c r="C2440" i="14"/>
  <c r="C820" i="14"/>
  <c r="C4974" i="14"/>
  <c r="B3757" i="14"/>
  <c r="C2080" i="14"/>
  <c r="B3583" i="14"/>
  <c r="C4365" i="14"/>
  <c r="C4626" i="14"/>
  <c r="C182" i="14"/>
  <c r="C118" i="14"/>
  <c r="C3756" i="14"/>
  <c r="C1180" i="14"/>
  <c r="C502" i="14"/>
  <c r="C2170" i="14"/>
  <c r="C438" i="14"/>
  <c r="C3843" i="14"/>
  <c r="B249" i="14"/>
  <c r="B4540" i="14"/>
  <c r="C310" i="14"/>
  <c r="C5061" i="14"/>
  <c r="B4192" i="14"/>
  <c r="C3321" i="14"/>
  <c r="C3234" i="14"/>
  <c r="B4105" i="14"/>
  <c r="C4800" i="14"/>
  <c r="B55" i="14"/>
  <c r="B703" i="14"/>
  <c r="B639" i="14"/>
  <c r="B3931" i="14"/>
  <c r="C4452" i="14"/>
  <c r="C1090" i="14"/>
  <c r="B4279" i="14"/>
  <c r="B377" i="14"/>
  <c r="B3845" i="14" l="1"/>
  <c r="B3236" i="14"/>
  <c r="B3323" i="14"/>
  <c r="B3584" i="14"/>
  <c r="B442" i="14"/>
  <c r="C4888" i="14"/>
  <c r="C1091" i="14"/>
  <c r="B4019" i="14"/>
  <c r="C1361" i="14"/>
  <c r="C1901" i="14"/>
  <c r="C4366" i="14"/>
  <c r="B2553" i="14"/>
  <c r="C1631" i="14"/>
  <c r="B4367" i="14"/>
  <c r="C375" i="14"/>
  <c r="C503" i="14"/>
  <c r="C3844" i="14"/>
  <c r="C911" i="14"/>
  <c r="C3583" i="14"/>
  <c r="C2441" i="14"/>
  <c r="B4106" i="14"/>
  <c r="C821" i="14"/>
  <c r="B250" i="14"/>
  <c r="C1811" i="14"/>
  <c r="C1271" i="14"/>
  <c r="C4714" i="14"/>
  <c r="C1991" i="14"/>
  <c r="B4889" i="14"/>
  <c r="B3410" i="14"/>
  <c r="C4279" i="14"/>
  <c r="C3496" i="14"/>
  <c r="B704" i="14"/>
  <c r="B640" i="14"/>
  <c r="C439" i="14"/>
  <c r="C4975" i="14"/>
  <c r="B186" i="14"/>
  <c r="B122" i="14"/>
  <c r="C1181" i="14"/>
  <c r="C4540" i="14"/>
  <c r="B4280" i="14"/>
  <c r="C567" i="14"/>
  <c r="B4976" i="14"/>
  <c r="C1001" i="14"/>
  <c r="B378" i="14"/>
  <c r="C4453" i="14"/>
  <c r="C5062" i="14"/>
  <c r="B5063" i="14"/>
  <c r="B4454" i="14"/>
  <c r="C3322" i="14"/>
  <c r="C3235" i="14"/>
  <c r="B3671" i="14"/>
  <c r="C3670" i="14"/>
  <c r="C311" i="14"/>
  <c r="C4018" i="14"/>
  <c r="C1451" i="14"/>
  <c r="B3932" i="14"/>
  <c r="C1541" i="14"/>
  <c r="C731" i="14"/>
  <c r="C641" i="14"/>
  <c r="C1721" i="14"/>
  <c r="C3409" i="14"/>
  <c r="B4628" i="14"/>
  <c r="C2261" i="14"/>
  <c r="C183" i="14"/>
  <c r="C119" i="14"/>
  <c r="B3758" i="14"/>
  <c r="B4715" i="14"/>
  <c r="C4192" i="14"/>
  <c r="B506" i="14"/>
  <c r="C2351" i="14"/>
  <c r="C4105" i="14"/>
  <c r="B4802" i="14"/>
  <c r="B570" i="14"/>
  <c r="B4541" i="14"/>
  <c r="C2081" i="14"/>
  <c r="C4801" i="14"/>
  <c r="C3931" i="14"/>
  <c r="B4193" i="14"/>
  <c r="B56" i="14"/>
  <c r="B314" i="14"/>
  <c r="C247" i="14"/>
  <c r="C2171" i="14"/>
  <c r="C2531" i="14"/>
  <c r="C57" i="14"/>
  <c r="B3497" i="14"/>
  <c r="C3757" i="14"/>
  <c r="C4627" i="14"/>
  <c r="B2460" i="14"/>
  <c r="H1268" i="14" a="1"/>
  <c r="F4713" i="14"/>
  <c r="F3582" i="14"/>
  <c r="G3842" i="14"/>
  <c r="H4102" i="14" a="1"/>
  <c r="F4626" i="14"/>
  <c r="H3406" i="14" a="1"/>
  <c r="G55" i="14"/>
  <c r="G566" i="14"/>
  <c r="G1989" i="14"/>
  <c r="H500" i="14" a="1"/>
  <c r="G2259" i="14"/>
  <c r="G1179" i="14"/>
  <c r="H3928" i="14" a="1"/>
  <c r="H3580" i="14" a="1"/>
  <c r="F3669" i="14"/>
  <c r="H2348" i="14" a="1"/>
  <c r="G4103" i="14"/>
  <c r="H4711" i="14" a="1"/>
  <c r="H3232" i="14" a="1"/>
  <c r="F5062" i="14"/>
  <c r="G3668" i="14"/>
  <c r="H3319" i="14" a="1"/>
  <c r="F2551" i="14"/>
  <c r="H4798" i="14" a="1"/>
  <c r="G2079" i="14"/>
  <c r="G4364" i="14"/>
  <c r="G729" i="14"/>
  <c r="H1358" i="14" a="1"/>
  <c r="F3495" i="14"/>
  <c r="F569" i="14"/>
  <c r="H180" i="14" a="1"/>
  <c r="H5060" i="14" a="1"/>
  <c r="F4452" i="14"/>
  <c r="H1628" i="14" a="1"/>
  <c r="G1899" i="14"/>
  <c r="H4450" i="14" a="1"/>
  <c r="H2529" i="14" a="1"/>
  <c r="G3581" i="14"/>
  <c r="F184" i="14"/>
  <c r="F3408" i="14"/>
  <c r="G1809" i="14"/>
  <c r="H2438" i="14" a="1"/>
  <c r="G4886" i="14"/>
  <c r="G2349" i="14"/>
  <c r="F4278" i="14"/>
  <c r="H565" i="14" a="1"/>
  <c r="G2169" i="14"/>
  <c r="G1269" i="14"/>
  <c r="G2530" i="14"/>
  <c r="H372" i="14" a="1"/>
  <c r="F440" i="14"/>
  <c r="H4276" i="14" a="1"/>
  <c r="H1898" i="14" a="1"/>
  <c r="H638" i="14" a="1"/>
  <c r="G3407" i="14"/>
  <c r="F2458" i="14"/>
  <c r="G437" i="14"/>
  <c r="G181" i="14"/>
  <c r="H3754" i="14" a="1"/>
  <c r="F120" i="14"/>
  <c r="F4017" i="14"/>
  <c r="G3233" i="14"/>
  <c r="H4624" i="14" a="1"/>
  <c r="G4538" i="14"/>
  <c r="H1988" i="14" a="1"/>
  <c r="F4191" i="14"/>
  <c r="F376" i="14"/>
  <c r="G1359" i="14"/>
  <c r="H4189" i="14" a="1"/>
  <c r="F4539" i="14"/>
  <c r="H818" i="14" a="1"/>
  <c r="F4887" i="14"/>
  <c r="H116" i="14" a="1"/>
  <c r="G4973" i="14"/>
  <c r="G819" i="14"/>
  <c r="H4015" i="14" a="1"/>
  <c r="G1719" i="14"/>
  <c r="G4277" i="14"/>
  <c r="G309" i="14"/>
  <c r="H1808" i="14" a="1"/>
  <c r="G1629" i="14"/>
  <c r="H4537" i="14" a="1"/>
  <c r="H54" i="14" a="1"/>
  <c r="G2439" i="14"/>
  <c r="F638" i="14"/>
  <c r="H308" i="14" a="1"/>
  <c r="H2168" i="14" a="1"/>
  <c r="G5061" i="14"/>
  <c r="H1088" i="14" a="1"/>
  <c r="F4365" i="14"/>
  <c r="H436" i="14" a="1"/>
  <c r="F3321" i="14"/>
  <c r="G4451" i="14"/>
  <c r="G3929" i="14"/>
  <c r="G4712" i="14"/>
  <c r="F504" i="14"/>
  <c r="F3843" i="14"/>
  <c r="H1718" i="14" a="1"/>
  <c r="F312" i="14"/>
  <c r="H4885" i="14" a="1"/>
  <c r="H908" i="14" a="1"/>
  <c r="G1539" i="14"/>
  <c r="F4800" i="14"/>
  <c r="G4016" i="14"/>
  <c r="H4972" i="14" a="1"/>
  <c r="G501" i="14"/>
  <c r="H4363" i="14" a="1"/>
  <c r="F3234" i="14"/>
  <c r="H244" i="14" a="1"/>
  <c r="G117" i="14"/>
  <c r="F248" i="14"/>
  <c r="F4104" i="14"/>
  <c r="G3494" i="14"/>
  <c r="G1089" i="14"/>
  <c r="F3756" i="14"/>
  <c r="F4974" i="14"/>
  <c r="G3320" i="14"/>
  <c r="H2258" i="14" a="1"/>
  <c r="H1178" i="14" a="1"/>
  <c r="F54" i="14"/>
  <c r="H3841" i="14" a="1"/>
  <c r="G999" i="14"/>
  <c r="H2078" i="14" a="1"/>
  <c r="F3930" i="14"/>
  <c r="H3667" i="14" a="1"/>
  <c r="G909" i="14"/>
  <c r="H728" i="14" a="1"/>
  <c r="G639" i="14"/>
  <c r="G4799" i="14"/>
  <c r="H998" i="14" a="1"/>
  <c r="H1538" i="14" a="1"/>
  <c r="H1448" i="14" a="1"/>
  <c r="G4625" i="14"/>
  <c r="G245" i="14"/>
  <c r="G4190" i="14"/>
  <c r="H3493" i="14" a="1"/>
  <c r="G1449" i="14"/>
  <c r="G3755" i="14"/>
  <c r="G373" i="14"/>
  <c r="F703" i="14"/>
  <c r="G4017" i="14"/>
  <c r="F4975" i="14"/>
  <c r="G3756" i="14"/>
  <c r="F185" i="14"/>
  <c r="F3496" i="14"/>
  <c r="F4453" i="14"/>
  <c r="G5062" i="14"/>
  <c r="F4366" i="14"/>
  <c r="G1720" i="14"/>
  <c r="F3409" i="14"/>
  <c r="G1990" i="14"/>
  <c r="G4539" i="14"/>
  <c r="F441" i="14"/>
  <c r="F570" i="14"/>
  <c r="G3930" i="14"/>
  <c r="F2459" i="14"/>
  <c r="F2552" i="14"/>
  <c r="G1900" i="14"/>
  <c r="F313" i="14"/>
  <c r="G1270" i="14"/>
  <c r="F3322" i="14"/>
  <c r="G1360" i="14"/>
  <c r="F639" i="14"/>
  <c r="G502" i="14"/>
  <c r="F4627" i="14"/>
  <c r="G820" i="14"/>
  <c r="F55" i="14"/>
  <c r="F3931" i="14"/>
  <c r="G4887" i="14"/>
  <c r="G2350" i="14"/>
  <c r="F4888" i="14"/>
  <c r="G310" i="14"/>
  <c r="G4800" i="14"/>
  <c r="G1000" i="14"/>
  <c r="G4626" i="14"/>
  <c r="G1630" i="14"/>
  <c r="F3844" i="14"/>
  <c r="F4192" i="14"/>
  <c r="G3843" i="14"/>
  <c r="F4540" i="14"/>
  <c r="F505" i="14"/>
  <c r="G182" i="14"/>
  <c r="F5063" i="14"/>
  <c r="F4801" i="14"/>
  <c r="G4191" i="14"/>
  <c r="F4714" i="14"/>
  <c r="G3582" i="14"/>
  <c r="G4278" i="14"/>
  <c r="G2531" i="14"/>
  <c r="F4105" i="14"/>
  <c r="G4452" i="14"/>
  <c r="G1540" i="14"/>
  <c r="F4018" i="14"/>
  <c r="F3670" i="14"/>
  <c r="G640" i="14"/>
  <c r="G1810" i="14"/>
  <c r="G2260" i="14"/>
  <c r="G1180" i="14"/>
  <c r="G374" i="14"/>
  <c r="F377" i="14"/>
  <c r="G3234" i="14"/>
  <c r="G4104" i="14"/>
  <c r="G3321" i="14"/>
  <c r="G2080" i="14"/>
  <c r="F3583" i="14"/>
  <c r="G438" i="14"/>
  <c r="F3235" i="14"/>
  <c r="G1090" i="14"/>
  <c r="F3757" i="14"/>
  <c r="G3495" i="14"/>
  <c r="G3408" i="14"/>
  <c r="G118" i="14"/>
  <c r="G1450" i="14"/>
  <c r="G3669" i="14"/>
  <c r="G2440" i="14"/>
  <c r="F4279" i="14"/>
  <c r="G4713" i="14"/>
  <c r="G2170" i="14"/>
  <c r="G4365" i="14"/>
  <c r="G567" i="14"/>
  <c r="G246" i="14"/>
  <c r="F121" i="14"/>
  <c r="F704" i="14"/>
  <c r="G4974" i="14"/>
  <c r="G730" i="14"/>
  <c r="F249" i="14"/>
  <c r="G56" i="14"/>
  <c r="G910" i="14"/>
  <c r="H3493" i="14" l="1"/>
  <c r="H1448" i="14"/>
  <c r="H1538" i="14"/>
  <c r="H998" i="14"/>
  <c r="H728" i="14"/>
  <c r="H3667" i="14"/>
  <c r="H2078" i="14"/>
  <c r="H3841" i="14"/>
  <c r="H1178" i="14"/>
  <c r="H2258" i="14"/>
  <c r="H244" i="14"/>
  <c r="H4363" i="14"/>
  <c r="H4972" i="14"/>
  <c r="H908" i="14"/>
  <c r="H4885" i="14"/>
  <c r="H1718" i="14"/>
  <c r="H436" i="14"/>
  <c r="H1088" i="14"/>
  <c r="H2168" i="14"/>
  <c r="H308" i="14"/>
  <c r="H54" i="14"/>
  <c r="H4537" i="14"/>
  <c r="H1808" i="14"/>
  <c r="H4015" i="14"/>
  <c r="H116" i="14"/>
  <c r="H818" i="14"/>
  <c r="H4189" i="14"/>
  <c r="H1988" i="14"/>
  <c r="H4624" i="14"/>
  <c r="H3754" i="14"/>
  <c r="H638" i="14"/>
  <c r="H1898" i="14"/>
  <c r="H4276" i="14"/>
  <c r="H372" i="14"/>
  <c r="H565" i="14"/>
  <c r="H2438" i="14"/>
  <c r="H2529" i="14"/>
  <c r="H4450" i="14"/>
  <c r="H1628" i="14"/>
  <c r="H5060" i="14"/>
  <c r="H180" i="14"/>
  <c r="H1358" i="14"/>
  <c r="H4798" i="14"/>
  <c r="H3319" i="14"/>
  <c r="H3232" i="14"/>
  <c r="H4711" i="14"/>
  <c r="H2348" i="14"/>
  <c r="H3580" i="14"/>
  <c r="H3928" i="14"/>
  <c r="H500" i="14"/>
  <c r="H3406" i="14"/>
  <c r="H4102" i="14"/>
  <c r="H1268" i="14"/>
  <c r="C312" i="14"/>
  <c r="B4020" i="14"/>
  <c r="C3758" i="14"/>
  <c r="B2461" i="14"/>
  <c r="B379" i="14"/>
  <c r="C1092" i="14"/>
  <c r="C4628" i="14"/>
  <c r="C4367" i="14"/>
  <c r="C1002" i="14"/>
  <c r="C4976" i="14"/>
  <c r="B4890" i="14"/>
  <c r="C642" i="14"/>
  <c r="C732" i="14"/>
  <c r="C1542" i="14"/>
  <c r="B5064" i="14"/>
  <c r="C1362" i="14"/>
  <c r="C3932" i="14"/>
  <c r="C1722" i="14"/>
  <c r="C1452" i="14"/>
  <c r="C4715" i="14"/>
  <c r="B57" i="14"/>
  <c r="C2172" i="14"/>
  <c r="C4193" i="14"/>
  <c r="B4803" i="14"/>
  <c r="C822" i="14"/>
  <c r="C3323" i="14"/>
  <c r="C3236" i="14"/>
  <c r="B123" i="14"/>
  <c r="B187" i="14"/>
  <c r="B4977" i="14"/>
  <c r="B2554" i="14"/>
  <c r="C5063" i="14"/>
  <c r="C4889" i="14"/>
  <c r="C504" i="14"/>
  <c r="B3498" i="14"/>
  <c r="B4194" i="14"/>
  <c r="B705" i="14"/>
  <c r="B641" i="14"/>
  <c r="B3846" i="14"/>
  <c r="C3410" i="14"/>
  <c r="C4541" i="14"/>
  <c r="C1902" i="14"/>
  <c r="C2532" i="14"/>
  <c r="C568" i="14"/>
  <c r="B3672" i="14"/>
  <c r="B3585" i="14"/>
  <c r="C4019" i="14"/>
  <c r="C912" i="14"/>
  <c r="C1992" i="14"/>
  <c r="B3933" i="14"/>
  <c r="B3759" i="14"/>
  <c r="C1272" i="14"/>
  <c r="C4106" i="14"/>
  <c r="B4716" i="14"/>
  <c r="B251" i="14"/>
  <c r="B4107" i="14"/>
  <c r="C3845" i="14"/>
  <c r="C2262" i="14"/>
  <c r="B4281" i="14"/>
  <c r="B4629" i="14"/>
  <c r="C2442" i="14"/>
  <c r="C1632" i="14"/>
  <c r="C376" i="14"/>
  <c r="B4542" i="14"/>
  <c r="B443" i="14"/>
  <c r="C2082" i="14"/>
  <c r="B315" i="14"/>
  <c r="C1182" i="14"/>
  <c r="B3411" i="14"/>
  <c r="C120" i="14"/>
  <c r="C184" i="14"/>
  <c r="B4455" i="14"/>
  <c r="C4280" i="14"/>
  <c r="C248" i="14"/>
  <c r="C1812" i="14"/>
  <c r="C4802" i="14"/>
  <c r="C58" i="14"/>
  <c r="C2352" i="14"/>
  <c r="B507" i="14"/>
  <c r="B571" i="14"/>
  <c r="C3497" i="14"/>
  <c r="B4368" i="14"/>
  <c r="C3584" i="14"/>
  <c r="C3671" i="14"/>
  <c r="C440" i="14"/>
  <c r="C4454" i="14"/>
  <c r="B3324" i="14"/>
  <c r="B3237" i="14"/>
  <c r="H373" i="14" a="1"/>
  <c r="H999" i="14" a="1"/>
  <c r="H1719" i="14" a="1"/>
  <c r="H2349" i="14" a="1"/>
  <c r="H1179" i="14" a="1"/>
  <c r="H3842" i="14" a="1"/>
  <c r="H246" i="14" a="1"/>
  <c r="F5064" i="14"/>
  <c r="G568" i="14"/>
  <c r="H3234" i="14" a="1"/>
  <c r="G57" i="14"/>
  <c r="H4713" i="14" a="1"/>
  <c r="G1541" i="14"/>
  <c r="H2440" i="14" a="1"/>
  <c r="F4454" i="14"/>
  <c r="G2261" i="14"/>
  <c r="G1901" i="14"/>
  <c r="F4976" i="14"/>
  <c r="H3495" i="14" a="1"/>
  <c r="H1540" i="14" a="1"/>
  <c r="H910" i="14" a="1"/>
  <c r="G119" i="14"/>
  <c r="H1000" i="14" a="1"/>
  <c r="F3323" i="14"/>
  <c r="H3755" i="14" a="1"/>
  <c r="H4712" i="14" a="1"/>
  <c r="H2439" i="14" a="1"/>
  <c r="H4538" i="14" a="1"/>
  <c r="H4886" i="14" a="1"/>
  <c r="H3668" i="14" a="1"/>
  <c r="H2259" i="14" a="1"/>
  <c r="H1810" i="14" a="1"/>
  <c r="G4192" i="14"/>
  <c r="G4105" i="14"/>
  <c r="H4017" i="14" a="1"/>
  <c r="F506" i="14"/>
  <c r="H1270" i="14" a="1"/>
  <c r="G1631" i="14"/>
  <c r="H118" i="14" a="1"/>
  <c r="F3236" i="14"/>
  <c r="H3321" i="14" a="1"/>
  <c r="F3845" i="14"/>
  <c r="F4541" i="14"/>
  <c r="G911" i="14"/>
  <c r="H4974" i="14" a="1"/>
  <c r="H56" i="14" a="1"/>
  <c r="G4453" i="14"/>
  <c r="H4191" i="14" a="1"/>
  <c r="G3757" i="14"/>
  <c r="H1449" i="14" a="1"/>
  <c r="H4799" i="14" a="1"/>
  <c r="H501" i="14" a="1"/>
  <c r="H3929" i="14" a="1"/>
  <c r="H819" i="14" a="1"/>
  <c r="H4278" i="14" a="1"/>
  <c r="F2460" i="14"/>
  <c r="F4889" i="14"/>
  <c r="H4626" i="14" a="1"/>
  <c r="F2553" i="14"/>
  <c r="H3669" i="14" a="1"/>
  <c r="F3497" i="14"/>
  <c r="G4888" i="14"/>
  <c r="G4279" i="14"/>
  <c r="H1090" i="14" a="1"/>
  <c r="H1360" i="14" a="1"/>
  <c r="G2081" i="14"/>
  <c r="F3584" i="14"/>
  <c r="H2260" i="14" a="1"/>
  <c r="H3582" i="14" a="1"/>
  <c r="F250" i="14"/>
  <c r="H5062" i="14" a="1"/>
  <c r="G247" i="14"/>
  <c r="H639" i="14" a="1"/>
  <c r="H4451" i="14" a="1"/>
  <c r="H4973" i="14" a="1"/>
  <c r="H3233" i="14" a="1"/>
  <c r="H1809" i="14" a="1"/>
  <c r="H1989" i="14" a="1"/>
  <c r="H2531" i="14" a="1"/>
  <c r="F3410" i="14"/>
  <c r="F4280" i="14"/>
  <c r="H3408" i="14" a="1"/>
  <c r="F314" i="14"/>
  <c r="F3932" i="14"/>
  <c r="G2171" i="14"/>
  <c r="F4019" i="14"/>
  <c r="G183" i="14"/>
  <c r="G1361" i="14"/>
  <c r="H3756" i="14" a="1"/>
  <c r="F4106" i="14"/>
  <c r="G3931" i="14"/>
  <c r="G4366" i="14"/>
  <c r="G5063" i="14"/>
  <c r="F4715" i="14"/>
  <c r="H640" i="14" a="1"/>
  <c r="F640" i="14"/>
  <c r="H4190" i="14" a="1"/>
  <c r="H3320" i="14" a="1"/>
  <c r="H4016" i="14" a="1"/>
  <c r="H1629" i="14" a="1"/>
  <c r="H2530" i="14" a="1"/>
  <c r="H3581" i="14" a="1"/>
  <c r="H729" i="14" a="1"/>
  <c r="H4103" i="14" a="1"/>
  <c r="H566" i="14" a="1"/>
  <c r="H310" i="14" a="1"/>
  <c r="F4628" i="14"/>
  <c r="H1630" i="14" a="1"/>
  <c r="G1181" i="14"/>
  <c r="G3583" i="14"/>
  <c r="F3671" i="14"/>
  <c r="H1450" i="14" a="1"/>
  <c r="G2441" i="14"/>
  <c r="G439" i="14"/>
  <c r="H1720" i="14" a="1"/>
  <c r="H909" i="14" a="1"/>
  <c r="H1539" i="14" a="1"/>
  <c r="H1269" i="14" a="1"/>
  <c r="H55" i="14" a="1"/>
  <c r="H820" i="14" a="1"/>
  <c r="H4887" i="14" a="1"/>
  <c r="G311" i="14"/>
  <c r="G4975" i="14"/>
  <c r="G4627" i="14"/>
  <c r="H730" i="14" a="1"/>
  <c r="G2532" i="14"/>
  <c r="G3670" i="14"/>
  <c r="G3322" i="14"/>
  <c r="H3494" i="14" a="1"/>
  <c r="H309" i="14" a="1"/>
  <c r="H2169" i="14" a="1"/>
  <c r="G503" i="14"/>
  <c r="F571" i="14"/>
  <c r="H438" i="14" a="1"/>
  <c r="H3930" i="14" a="1"/>
  <c r="G4801" i="14"/>
  <c r="G3496" i="14"/>
  <c r="H1180" i="14" a="1"/>
  <c r="H1990" i="14" a="1"/>
  <c r="H117" i="14" a="1"/>
  <c r="H1359" i="14" a="1"/>
  <c r="H1899" i="14" a="1"/>
  <c r="G1721" i="14"/>
  <c r="H567" i="14" a="1"/>
  <c r="H182" i="14" a="1"/>
  <c r="H4800" i="14" a="1"/>
  <c r="G1271" i="14"/>
  <c r="H3843" i="14" a="1"/>
  <c r="H4365" i="14" a="1"/>
  <c r="H4539" i="14" a="1"/>
  <c r="G2351" i="14"/>
  <c r="F3758" i="14"/>
  <c r="H1900" i="14" a="1"/>
  <c r="G1091" i="14"/>
  <c r="F56" i="14"/>
  <c r="H2350" i="14" a="1"/>
  <c r="G731" i="14"/>
  <c r="H245" i="14" a="1"/>
  <c r="H1089" i="14" a="1"/>
  <c r="H181" i="14" a="1"/>
  <c r="H4364" i="14" a="1"/>
  <c r="G1451" i="14"/>
  <c r="G4714" i="14"/>
  <c r="H374" i="14" a="1"/>
  <c r="H2170" i="14" a="1"/>
  <c r="F705" i="14"/>
  <c r="G641" i="14"/>
  <c r="H4452" i="14" a="1"/>
  <c r="F4367" i="14"/>
  <c r="H4625" i="14" a="1"/>
  <c r="H5061" i="14" a="1"/>
  <c r="H437" i="14" a="1"/>
  <c r="H2079" i="14" a="1"/>
  <c r="G1811" i="14"/>
  <c r="G821" i="14"/>
  <c r="F122" i="14"/>
  <c r="G375" i="14"/>
  <c r="G4540" i="14"/>
  <c r="H2080" i="14" a="1"/>
  <c r="F4193" i="14"/>
  <c r="F378" i="14"/>
  <c r="F186" i="14"/>
  <c r="H4277" i="14" a="1"/>
  <c r="H3407" i="14" a="1"/>
  <c r="H4104" i="14" a="1"/>
  <c r="G1991" i="14"/>
  <c r="G3235" i="14"/>
  <c r="G3409" i="14"/>
  <c r="F442" i="14"/>
  <c r="G3844" i="14"/>
  <c r="H502" i="14" a="1"/>
  <c r="G1001" i="14"/>
  <c r="G4018" i="14"/>
  <c r="F4802" i="14"/>
  <c r="H3407" i="14" l="1"/>
  <c r="H4277" i="14"/>
  <c r="H2079" i="14"/>
  <c r="H437" i="14"/>
  <c r="H5061" i="14"/>
  <c r="H4625" i="14"/>
  <c r="H4364" i="14"/>
  <c r="H181" i="14"/>
  <c r="H1089" i="14"/>
  <c r="H245" i="14"/>
  <c r="H1899" i="14"/>
  <c r="H1359" i="14"/>
  <c r="H117" i="14"/>
  <c r="H2169" i="14"/>
  <c r="H309" i="14"/>
  <c r="H3494" i="14"/>
  <c r="H55" i="14"/>
  <c r="H1269" i="14"/>
  <c r="H1539" i="14"/>
  <c r="H909" i="14"/>
  <c r="H566" i="14"/>
  <c r="H4103" i="14"/>
  <c r="H729" i="14"/>
  <c r="H3581" i="14"/>
  <c r="H2530" i="14"/>
  <c r="H1629" i="14"/>
  <c r="H4016" i="14"/>
  <c r="H3320" i="14"/>
  <c r="H4190" i="14"/>
  <c r="H1989" i="14"/>
  <c r="H1809" i="14"/>
  <c r="H3233" i="14"/>
  <c r="H4973" i="14"/>
  <c r="H4451" i="14"/>
  <c r="H639" i="14"/>
  <c r="H819" i="14"/>
  <c r="H3929" i="14"/>
  <c r="H501" i="14"/>
  <c r="H4799" i="14"/>
  <c r="H1449" i="14"/>
  <c r="H2259" i="14"/>
  <c r="H3668" i="14"/>
  <c r="H4886" i="14"/>
  <c r="H4538" i="14"/>
  <c r="H2439" i="14"/>
  <c r="H4712" i="14"/>
  <c r="H3755" i="14"/>
  <c r="H3842" i="14"/>
  <c r="H1179" i="14"/>
  <c r="H2349" i="14"/>
  <c r="H1719" i="14"/>
  <c r="H999" i="14"/>
  <c r="H373" i="14"/>
  <c r="H4887" i="14"/>
  <c r="H820" i="14"/>
  <c r="H1720" i="14"/>
  <c r="H3582" i="14"/>
  <c r="H2260" i="14"/>
  <c r="H502" i="14"/>
  <c r="H118" i="14"/>
  <c r="H3669" i="14"/>
  <c r="H1630" i="14"/>
  <c r="H310" i="14"/>
  <c r="H640" i="14"/>
  <c r="H56" i="14"/>
  <c r="H3495" i="14"/>
  <c r="H2080" i="14"/>
  <c r="H2440" i="14"/>
  <c r="H1270" i="14"/>
  <c r="H3408" i="14"/>
  <c r="H2531" i="14"/>
  <c r="H5062" i="14"/>
  <c r="H910" i="14"/>
  <c r="H1090" i="14"/>
  <c r="H730" i="14"/>
  <c r="H4800" i="14"/>
  <c r="H4713" i="14"/>
  <c r="H4626" i="14"/>
  <c r="H4278" i="14"/>
  <c r="H4191" i="14"/>
  <c r="H4365" i="14"/>
  <c r="H3843" i="14"/>
  <c r="H1450" i="14"/>
  <c r="H3930" i="14"/>
  <c r="H182" i="14"/>
  <c r="H4017" i="14"/>
  <c r="H1810" i="14"/>
  <c r="H1000" i="14"/>
  <c r="H1180" i="14"/>
  <c r="H3321" i="14"/>
  <c r="H3756" i="14"/>
  <c r="H2170" i="14"/>
  <c r="H438" i="14"/>
  <c r="H3234" i="14"/>
  <c r="H246" i="14"/>
  <c r="H4539" i="14"/>
  <c r="H4452" i="14"/>
  <c r="H4974" i="14"/>
  <c r="H1360" i="14"/>
  <c r="H1900" i="14"/>
  <c r="H374" i="14"/>
  <c r="H567" i="14"/>
  <c r="H4104" i="14"/>
  <c r="H1990" i="14"/>
  <c r="H2350" i="14"/>
  <c r="H1540" i="14"/>
  <c r="B3586" i="14"/>
  <c r="C3411" i="14"/>
  <c r="C2263" i="14"/>
  <c r="B572" i="14"/>
  <c r="B5065" i="14"/>
  <c r="C913" i="14"/>
  <c r="C377" i="14"/>
  <c r="C1993" i="14"/>
  <c r="B642" i="14"/>
  <c r="B706" i="14"/>
  <c r="C569" i="14"/>
  <c r="B58" i="14"/>
  <c r="C4020" i="14"/>
  <c r="C733" i="14"/>
  <c r="C643" i="14"/>
  <c r="C4455" i="14"/>
  <c r="B4456" i="14"/>
  <c r="C185" i="14"/>
  <c r="C121" i="14"/>
  <c r="C2173" i="14"/>
  <c r="C1723" i="14"/>
  <c r="B4021" i="14"/>
  <c r="B3673" i="14"/>
  <c r="C4977" i="14"/>
  <c r="B252" i="14"/>
  <c r="C4803" i="14"/>
  <c r="B2462" i="14"/>
  <c r="B4543" i="14"/>
  <c r="B3238" i="14"/>
  <c r="B3325" i="14"/>
  <c r="C4890" i="14"/>
  <c r="B3847" i="14"/>
  <c r="C4107" i="14"/>
  <c r="B3934" i="14"/>
  <c r="B2555" i="14"/>
  <c r="C1813" i="14"/>
  <c r="C1093" i="14"/>
  <c r="B444" i="14"/>
  <c r="B3412" i="14"/>
  <c r="B4369" i="14"/>
  <c r="C823" i="14"/>
  <c r="C1903" i="14"/>
  <c r="C249" i="14"/>
  <c r="B188" i="14"/>
  <c r="B124" i="14"/>
  <c r="B4891" i="14"/>
  <c r="C1453" i="14"/>
  <c r="B4978" i="14"/>
  <c r="C3846" i="14"/>
  <c r="C3759" i="14"/>
  <c r="B4195" i="14"/>
  <c r="C1363" i="14"/>
  <c r="C3498" i="14"/>
  <c r="C5064" i="14"/>
  <c r="B4108" i="14"/>
  <c r="B380" i="14"/>
  <c r="C441" i="14"/>
  <c r="C2353" i="14"/>
  <c r="B4804" i="14"/>
  <c r="C4542" i="14"/>
  <c r="C2443" i="14"/>
  <c r="C313" i="14"/>
  <c r="B3499" i="14"/>
  <c r="B508" i="14"/>
  <c r="B3760" i="14"/>
  <c r="C2533" i="14"/>
  <c r="C3933" i="14"/>
  <c r="C4194" i="14"/>
  <c r="C2083" i="14"/>
  <c r="C4629" i="14"/>
  <c r="C1543" i="14"/>
  <c r="C4716" i="14"/>
  <c r="B4717" i="14"/>
  <c r="C1003" i="14"/>
  <c r="B316" i="14"/>
  <c r="C1633" i="14"/>
  <c r="C3672" i="14"/>
  <c r="C505" i="14"/>
  <c r="C3585" i="14"/>
  <c r="C59" i="14"/>
  <c r="C4368" i="14"/>
  <c r="C1273" i="14"/>
  <c r="B4630" i="14"/>
  <c r="B4282" i="14"/>
  <c r="C3237" i="14"/>
  <c r="C3324" i="14"/>
  <c r="C4281" i="14"/>
  <c r="C1183" i="14"/>
  <c r="F2554" i="14"/>
  <c r="G4715" i="14"/>
  <c r="H1361" i="14" a="1"/>
  <c r="F3933" i="14"/>
  <c r="F4977" i="14"/>
  <c r="F3672" i="14"/>
  <c r="G3932" i="14"/>
  <c r="H3931" i="14" a="1"/>
  <c r="F3759" i="14"/>
  <c r="G3497" i="14"/>
  <c r="H3496" i="14" a="1"/>
  <c r="G4976" i="14"/>
  <c r="H1271" i="14" a="1"/>
  <c r="H3409" i="14" a="1"/>
  <c r="G1992" i="14"/>
  <c r="H3844" i="14" a="1"/>
  <c r="G1632" i="14"/>
  <c r="G1452" i="14"/>
  <c r="H4105" i="14" a="1"/>
  <c r="H1631" i="14" a="1"/>
  <c r="G4628" i="14"/>
  <c r="F379" i="14"/>
  <c r="H4714" i="14" a="1"/>
  <c r="H2441" i="14" a="1"/>
  <c r="F3585" i="14"/>
  <c r="H3670" i="14" a="1"/>
  <c r="G4367" i="14"/>
  <c r="H439" i="14" a="1"/>
  <c r="G248" i="14"/>
  <c r="F4890" i="14"/>
  <c r="H3583" i="14" a="1"/>
  <c r="H2532" i="14" a="1"/>
  <c r="H568" i="14" a="1"/>
  <c r="F4629" i="14"/>
  <c r="F443" i="14"/>
  <c r="H183" i="14" a="1"/>
  <c r="H731" i="14" a="1"/>
  <c r="H2081" i="14" a="1"/>
  <c r="H4540" i="14" a="1"/>
  <c r="G3236" i="14"/>
  <c r="H4627" i="14" a="1"/>
  <c r="F572" i="14"/>
  <c r="G2172" i="14"/>
  <c r="G1182" i="14"/>
  <c r="H1541" i="14" a="1"/>
  <c r="H821" i="14" a="1"/>
  <c r="H1001" i="14" a="1"/>
  <c r="H3235" i="14" a="1"/>
  <c r="G1902" i="14"/>
  <c r="G1722" i="14"/>
  <c r="F4368" i="14"/>
  <c r="G822" i="14"/>
  <c r="H4366" i="14" a="1"/>
  <c r="H2171" i="14" a="1"/>
  <c r="H4279" i="14" a="1"/>
  <c r="G4280" i="14"/>
  <c r="G4106" i="14"/>
  <c r="H4453" i="14" a="1"/>
  <c r="F5065" i="14"/>
  <c r="H4975" i="14" a="1"/>
  <c r="H3322" i="14" a="1"/>
  <c r="G504" i="14"/>
  <c r="H2261" i="14" a="1"/>
  <c r="F123" i="14"/>
  <c r="G440" i="14"/>
  <c r="H4018" i="14" a="1"/>
  <c r="G1542" i="14"/>
  <c r="G3845" i="14"/>
  <c r="F507" i="14"/>
  <c r="G376" i="14"/>
  <c r="F187" i="14"/>
  <c r="H4888" i="14" a="1"/>
  <c r="F2461" i="14"/>
  <c r="F641" i="14"/>
  <c r="G642" i="14"/>
  <c r="F4803" i="14"/>
  <c r="F315" i="14"/>
  <c r="H641" i="14" a="1"/>
  <c r="G5064" i="14"/>
  <c r="H4801" i="14" a="1"/>
  <c r="H5063" i="14" a="1"/>
  <c r="F3846" i="14"/>
  <c r="G3758" i="14"/>
  <c r="F4020" i="14"/>
  <c r="H3757" i="14" a="1"/>
  <c r="F4107" i="14"/>
  <c r="F4542" i="14"/>
  <c r="G4019" i="14"/>
  <c r="G3584" i="14"/>
  <c r="F3411" i="14"/>
  <c r="G3323" i="14"/>
  <c r="H1091" i="14" a="1"/>
  <c r="G569" i="14"/>
  <c r="G2352" i="14"/>
  <c r="G4802" i="14"/>
  <c r="H911" i="14" a="1"/>
  <c r="H311" i="14" a="1"/>
  <c r="H1991" i="14" a="1"/>
  <c r="G1092" i="14"/>
  <c r="H2351" i="14" a="1"/>
  <c r="H4192" i="14" a="1"/>
  <c r="G1362" i="14"/>
  <c r="G3671" i="14"/>
  <c r="H503" i="14" a="1"/>
  <c r="F3237" i="14"/>
  <c r="H1451" i="14" a="1"/>
  <c r="F3324" i="14"/>
  <c r="G1002" i="14"/>
  <c r="F4455" i="14"/>
  <c r="H247" i="14" a="1"/>
  <c r="H1901" i="14" a="1"/>
  <c r="G1272" i="14"/>
  <c r="H1811" i="14" a="1"/>
  <c r="G4193" i="14"/>
  <c r="H119" i="14" a="1"/>
  <c r="F57" i="14"/>
  <c r="G2442" i="14"/>
  <c r="G3410" i="14"/>
  <c r="G4889" i="14"/>
  <c r="F4194" i="14"/>
  <c r="G2533" i="14"/>
  <c r="F251" i="14"/>
  <c r="H1181" i="14" a="1"/>
  <c r="F3498" i="14"/>
  <c r="H1721" i="14" a="1"/>
  <c r="G184" i="14"/>
  <c r="F4716" i="14"/>
  <c r="G58" i="14"/>
  <c r="G912" i="14"/>
  <c r="G120" i="14"/>
  <c r="G4541" i="14"/>
  <c r="G2082" i="14"/>
  <c r="H57" i="14" a="1"/>
  <c r="H375" i="14" a="1"/>
  <c r="G1812" i="14"/>
  <c r="G732" i="14"/>
  <c r="G2262" i="14"/>
  <c r="F4281" i="14"/>
  <c r="G312" i="14"/>
  <c r="G4454" i="14"/>
  <c r="H1361" i="14" l="1"/>
  <c r="H4975" i="14"/>
  <c r="H1901" i="14"/>
  <c r="H2532" i="14"/>
  <c r="H3235" i="14"/>
  <c r="H3931" i="14"/>
  <c r="H2171" i="14"/>
  <c r="H3322" i="14"/>
  <c r="H57" i="14"/>
  <c r="H3844" i="14"/>
  <c r="H568" i="14"/>
  <c r="H3583" i="14"/>
  <c r="H247" i="14"/>
  <c r="H2261" i="14"/>
  <c r="H821" i="14"/>
  <c r="H375" i="14"/>
  <c r="H4366" i="14"/>
  <c r="H1181" i="14"/>
  <c r="H1091" i="14"/>
  <c r="H4627" i="14"/>
  <c r="H4540" i="14"/>
  <c r="H4279" i="14"/>
  <c r="H731" i="14"/>
  <c r="H1721" i="14"/>
  <c r="H1541" i="14"/>
  <c r="H1811" i="14"/>
  <c r="H5063" i="14"/>
  <c r="H4192" i="14"/>
  <c r="H2351" i="14"/>
  <c r="H1001" i="14"/>
  <c r="H311" i="14"/>
  <c r="H119" i="14"/>
  <c r="H183" i="14"/>
  <c r="H503" i="14"/>
  <c r="H3409" i="14"/>
  <c r="H2441" i="14"/>
  <c r="H4714" i="14"/>
  <c r="H2081" i="14"/>
  <c r="H1631" i="14"/>
  <c r="H1451" i="14"/>
  <c r="H911" i="14"/>
  <c r="H3670" i="14"/>
  <c r="H4018" i="14"/>
  <c r="H4801" i="14"/>
  <c r="H641" i="14"/>
  <c r="H1991" i="14"/>
  <c r="H4888" i="14"/>
  <c r="H439" i="14"/>
  <c r="H4105" i="14"/>
  <c r="H3757" i="14"/>
  <c r="H4453" i="14"/>
  <c r="H1271" i="14"/>
  <c r="H3496" i="14"/>
  <c r="C1904" i="14"/>
  <c r="C4804" i="14"/>
  <c r="B5066" i="14"/>
  <c r="C1544" i="14"/>
  <c r="B381" i="14"/>
  <c r="B4196" i="14"/>
  <c r="B3413" i="14"/>
  <c r="C4891" i="14"/>
  <c r="B4109" i="14"/>
  <c r="C4369" i="14"/>
  <c r="C570" i="14"/>
  <c r="C1094" i="14"/>
  <c r="C378" i="14"/>
  <c r="C3847" i="14"/>
  <c r="B509" i="14"/>
  <c r="B4022" i="14"/>
  <c r="B3239" i="14"/>
  <c r="B3326" i="14"/>
  <c r="B59" i="14"/>
  <c r="C2084" i="14"/>
  <c r="C186" i="14"/>
  <c r="C122" i="14"/>
  <c r="C1724" i="14"/>
  <c r="C4630" i="14"/>
  <c r="B3500" i="14"/>
  <c r="B3761" i="14"/>
  <c r="C824" i="14"/>
  <c r="B4718" i="14"/>
  <c r="C4021" i="14"/>
  <c r="B3587" i="14"/>
  <c r="C1994" i="14"/>
  <c r="B4544" i="14"/>
  <c r="C1364" i="14"/>
  <c r="C4717" i="14"/>
  <c r="C4195" i="14"/>
  <c r="C60" i="14"/>
  <c r="B253" i="14"/>
  <c r="B771" i="14"/>
  <c r="C1004" i="14"/>
  <c r="B573" i="14"/>
  <c r="B445" i="14"/>
  <c r="C314" i="14"/>
  <c r="C4978" i="14"/>
  <c r="B2463" i="14"/>
  <c r="C250" i="14"/>
  <c r="B3674" i="14"/>
  <c r="C4108" i="14"/>
  <c r="C3673" i="14"/>
  <c r="B4892" i="14"/>
  <c r="B4283" i="14"/>
  <c r="C3412" i="14"/>
  <c r="C2444" i="14"/>
  <c r="B4979" i="14"/>
  <c r="C1184" i="14"/>
  <c r="B317" i="14"/>
  <c r="C1814" i="14"/>
  <c r="C4543" i="14"/>
  <c r="C442" i="14"/>
  <c r="C3238" i="14"/>
  <c r="C3325" i="14"/>
  <c r="C4456" i="14"/>
  <c r="C3760" i="14"/>
  <c r="B3848" i="14"/>
  <c r="C2534" i="14"/>
  <c r="C506" i="14"/>
  <c r="C3934" i="14"/>
  <c r="C914" i="14"/>
  <c r="B4631" i="14"/>
  <c r="C5065" i="14"/>
  <c r="C2354" i="14"/>
  <c r="C644" i="14"/>
  <c r="C734" i="14"/>
  <c r="B4370" i="14"/>
  <c r="C4282" i="14"/>
  <c r="C1454" i="14"/>
  <c r="B2556" i="14"/>
  <c r="C1274" i="14"/>
  <c r="C1634" i="14"/>
  <c r="B707" i="14"/>
  <c r="B643" i="14"/>
  <c r="B4805" i="14"/>
  <c r="C2174" i="14"/>
  <c r="C3586" i="14"/>
  <c r="B189" i="14"/>
  <c r="B125" i="14"/>
  <c r="B4457" i="14"/>
  <c r="B3935" i="14"/>
  <c r="C2264" i="14"/>
  <c r="C3499" i="14"/>
  <c r="H3671" i="14" a="1"/>
  <c r="F4543" i="14"/>
  <c r="G4020" i="14"/>
  <c r="H1902" i="14" a="1"/>
  <c r="F4282" i="14"/>
  <c r="H3845" i="14" a="1"/>
  <c r="G570" i="14"/>
  <c r="G4542" i="14"/>
  <c r="H822" i="14" a="1"/>
  <c r="G59" i="14"/>
  <c r="G3498" i="14"/>
  <c r="F771" i="14"/>
  <c r="G643" i="14"/>
  <c r="H4193" i="14" a="1"/>
  <c r="H1092" i="14" a="1"/>
  <c r="F124" i="14"/>
  <c r="G3759" i="14"/>
  <c r="H3323" i="14" a="1"/>
  <c r="G2353" i="14"/>
  <c r="F4978" i="14"/>
  <c r="G823" i="14"/>
  <c r="F188" i="14"/>
  <c r="H3236" i="14" a="1"/>
  <c r="H376" i="14" a="1"/>
  <c r="F4717" i="14"/>
  <c r="G1723" i="14"/>
  <c r="H1812" i="14" a="1"/>
  <c r="G185" i="14"/>
  <c r="G4368" i="14"/>
  <c r="G313" i="14"/>
  <c r="F3499" i="14"/>
  <c r="G1453" i="14"/>
  <c r="G5065" i="14"/>
  <c r="G2443" i="14"/>
  <c r="G1813" i="14"/>
  <c r="H1362" i="14" a="1"/>
  <c r="G1993" i="14"/>
  <c r="F3238" i="14"/>
  <c r="F3673" i="14"/>
  <c r="F2462" i="14"/>
  <c r="G1363" i="14"/>
  <c r="H1722" i="14" a="1"/>
  <c r="F58" i="14"/>
  <c r="H248" i="14" a="1"/>
  <c r="F508" i="14"/>
  <c r="H4541" i="14" a="1"/>
  <c r="F3760" i="14"/>
  <c r="H1452" i="14" a="1"/>
  <c r="G1273" i="14"/>
  <c r="F5066" i="14"/>
  <c r="G4629" i="14"/>
  <c r="H504" i="14" a="1"/>
  <c r="G4803" i="14"/>
  <c r="G1003" i="14"/>
  <c r="H4976" i="14" a="1"/>
  <c r="G913" i="14"/>
  <c r="H3584" i="14" a="1"/>
  <c r="G377" i="14"/>
  <c r="G2534" i="14"/>
  <c r="G4977" i="14"/>
  <c r="H4628" i="14" a="1"/>
  <c r="H120" i="14" a="1"/>
  <c r="H2442" i="14" a="1"/>
  <c r="F3325" i="14"/>
  <c r="F4021" i="14"/>
  <c r="H2533" i="14" a="1"/>
  <c r="F573" i="14"/>
  <c r="F4804" i="14"/>
  <c r="G2083" i="14"/>
  <c r="H4715" i="14" a="1"/>
  <c r="G1903" i="14"/>
  <c r="H312" i="14" a="1"/>
  <c r="H4889" i="14" a="1"/>
  <c r="F706" i="14"/>
  <c r="G505" i="14"/>
  <c r="H2082" i="14" a="1"/>
  <c r="G121" i="14"/>
  <c r="H1182" i="14" a="1"/>
  <c r="G441" i="14"/>
  <c r="G249" i="14"/>
  <c r="H3497" i="14" a="1"/>
  <c r="F4369" i="14"/>
  <c r="H4106" i="14" a="1"/>
  <c r="F4630" i="14"/>
  <c r="F642" i="14"/>
  <c r="G733" i="14"/>
  <c r="H1632" i="14" a="1"/>
  <c r="G3846" i="14"/>
  <c r="F380" i="14"/>
  <c r="G4107" i="14"/>
  <c r="H4367" i="14" a="1"/>
  <c r="H3758" i="14" a="1"/>
  <c r="H1992" i="14" a="1"/>
  <c r="F4108" i="14"/>
  <c r="F444" i="14"/>
  <c r="F3586" i="14"/>
  <c r="G1093" i="14"/>
  <c r="H569" i="14" a="1"/>
  <c r="F3412" i="14"/>
  <c r="H1542" i="14" a="1"/>
  <c r="H5064" i="14" a="1"/>
  <c r="H642" i="14" a="1"/>
  <c r="H1272" i="14" a="1"/>
  <c r="H2262" i="14" a="1"/>
  <c r="H4802" i="14" a="1"/>
  <c r="G3933" i="14"/>
  <c r="H732" i="14" a="1"/>
  <c r="H912" i="14" a="1"/>
  <c r="H2352" i="14" a="1"/>
  <c r="F252" i="14"/>
  <c r="G2263" i="14"/>
  <c r="G4194" i="14"/>
  <c r="G1633" i="14"/>
  <c r="G3585" i="14"/>
  <c r="H2172" i="14" a="1"/>
  <c r="G4890" i="14"/>
  <c r="G3324" i="14"/>
  <c r="H4019" i="14" a="1"/>
  <c r="G3237" i="14"/>
  <c r="G4716" i="14"/>
  <c r="G1543" i="14"/>
  <c r="H4454" i="14" a="1"/>
  <c r="H58" i="14" a="1"/>
  <c r="H3410" i="14" a="1"/>
  <c r="G4455" i="14"/>
  <c r="G3411" i="14"/>
  <c r="H1002" i="14" a="1"/>
  <c r="F4456" i="14"/>
  <c r="G3672" i="14"/>
  <c r="G2173" i="14"/>
  <c r="H184" i="14" a="1"/>
  <c r="G4281" i="14"/>
  <c r="F316" i="14"/>
  <c r="H440" i="14" a="1"/>
  <c r="F3847" i="14"/>
  <c r="F3934" i="14"/>
  <c r="G1183" i="14"/>
  <c r="H4280" i="14" a="1"/>
  <c r="F2555" i="14"/>
  <c r="H3932" i="14" a="1"/>
  <c r="F4891" i="14"/>
  <c r="F4195" i="14"/>
  <c r="H642" i="14" l="1"/>
  <c r="H1002" i="14"/>
  <c r="H912" i="14"/>
  <c r="H3323" i="14"/>
  <c r="H120" i="14"/>
  <c r="H4193" i="14"/>
  <c r="H2262" i="14"/>
  <c r="H1722" i="14"/>
  <c r="H1992" i="14"/>
  <c r="H1452" i="14"/>
  <c r="H1542" i="14"/>
  <c r="H312" i="14"/>
  <c r="H58" i="14"/>
  <c r="H4715" i="14"/>
  <c r="H376" i="14"/>
  <c r="H1272" i="14"/>
  <c r="H1182" i="14"/>
  <c r="H2352" i="14"/>
  <c r="H4367" i="14"/>
  <c r="H2442" i="14"/>
  <c r="H2172" i="14"/>
  <c r="H4628" i="14"/>
  <c r="H3932" i="14"/>
  <c r="H3236" i="14"/>
  <c r="H3845" i="14"/>
  <c r="H5064" i="14"/>
  <c r="H4889" i="14"/>
  <c r="H3410" i="14"/>
  <c r="H1362" i="14"/>
  <c r="H4454" i="14"/>
  <c r="H4106" i="14"/>
  <c r="H3497" i="14"/>
  <c r="H2533" i="14"/>
  <c r="H3758" i="14"/>
  <c r="H3671" i="14"/>
  <c r="H4541" i="14"/>
  <c r="H569" i="14"/>
  <c r="H248" i="14"/>
  <c r="H184" i="14"/>
  <c r="H822" i="14"/>
  <c r="H3584" i="14"/>
  <c r="H2082" i="14"/>
  <c r="H440" i="14"/>
  <c r="H732" i="14"/>
  <c r="H1632" i="14"/>
  <c r="H4802" i="14"/>
  <c r="H504" i="14"/>
  <c r="H4280" i="14"/>
  <c r="H4019" i="14"/>
  <c r="H1902" i="14"/>
  <c r="H4976" i="14"/>
  <c r="H1812" i="14"/>
  <c r="H1092" i="14"/>
  <c r="B3762" i="14"/>
  <c r="B4197" i="14"/>
  <c r="B446" i="14"/>
  <c r="B3588" i="14"/>
  <c r="B190" i="14"/>
  <c r="B126" i="14"/>
  <c r="C825" i="14"/>
  <c r="C1005" i="14"/>
  <c r="B3936" i="14"/>
  <c r="B382" i="14"/>
  <c r="C4196" i="14"/>
  <c r="C5066" i="14"/>
  <c r="C4283" i="14"/>
  <c r="C2085" i="14"/>
  <c r="C915" i="14"/>
  <c r="B3414" i="14"/>
  <c r="C4892" i="14"/>
  <c r="B254" i="14"/>
  <c r="B708" i="14"/>
  <c r="B644" i="14"/>
  <c r="C735" i="14"/>
  <c r="C645" i="14"/>
  <c r="C507" i="14"/>
  <c r="C379" i="14"/>
  <c r="C187" i="14"/>
  <c r="C123" i="14"/>
  <c r="C443" i="14"/>
  <c r="C1995" i="14"/>
  <c r="B3675" i="14"/>
  <c r="C251" i="14"/>
  <c r="C2445" i="14"/>
  <c r="C4022" i="14"/>
  <c r="C4631" i="14"/>
  <c r="C1185" i="14"/>
  <c r="C1725" i="14"/>
  <c r="C4370" i="14"/>
  <c r="B318" i="14"/>
  <c r="C1455" i="14"/>
  <c r="B4110" i="14"/>
  <c r="C1635" i="14"/>
  <c r="B4545" i="14"/>
  <c r="C1365" i="14"/>
  <c r="B4458" i="14"/>
  <c r="C1905" i="14"/>
  <c r="C3761" i="14"/>
  <c r="C61" i="14"/>
  <c r="B4632" i="14"/>
  <c r="C2175" i="14"/>
  <c r="B3501" i="14"/>
  <c r="C2355" i="14"/>
  <c r="B772" i="14"/>
  <c r="C1545" i="14"/>
  <c r="B3849" i="14"/>
  <c r="B3327" i="14"/>
  <c r="B3240" i="14"/>
  <c r="C3674" i="14"/>
  <c r="C315" i="14"/>
  <c r="B4023" i="14"/>
  <c r="C571" i="14"/>
  <c r="C4544" i="14"/>
  <c r="B5067" i="14"/>
  <c r="B4980" i="14"/>
  <c r="B510" i="14"/>
  <c r="C4109" i="14"/>
  <c r="B4893" i="14"/>
  <c r="C3413" i="14"/>
  <c r="C2535" i="14"/>
  <c r="B2464" i="14"/>
  <c r="B4806" i="14"/>
  <c r="C4718" i="14"/>
  <c r="B60" i="14"/>
  <c r="B574" i="14"/>
  <c r="C3848" i="14"/>
  <c r="C1275" i="14"/>
  <c r="B4371" i="14"/>
  <c r="C4805" i="14"/>
  <c r="C4979" i="14"/>
  <c r="C2265" i="14"/>
  <c r="C3587" i="14"/>
  <c r="B2557" i="14"/>
  <c r="B4719" i="14"/>
  <c r="C3239" i="14"/>
  <c r="C3326" i="14"/>
  <c r="C3500" i="14"/>
  <c r="C1095" i="14"/>
  <c r="C1815" i="14"/>
  <c r="C3935" i="14"/>
  <c r="C4457" i="14"/>
  <c r="B4284" i="14"/>
  <c r="H1093" i="14" a="1"/>
  <c r="G4891" i="14"/>
  <c r="F125" i="14"/>
  <c r="H1003" i="14" a="1"/>
  <c r="F5067" i="14"/>
  <c r="H5065" i="14" a="1"/>
  <c r="H2083" i="14" a="1"/>
  <c r="G378" i="14"/>
  <c r="F4283" i="14"/>
  <c r="H4803" i="14" a="1"/>
  <c r="F3587" i="14"/>
  <c r="G4369" i="14"/>
  <c r="H1723" i="14" a="1"/>
  <c r="H249" i="14" a="1"/>
  <c r="H2173" i="14" a="1"/>
  <c r="G644" i="14"/>
  <c r="F3848" i="14"/>
  <c r="H1903" i="14" a="1"/>
  <c r="G4717" i="14"/>
  <c r="H3498" i="14" a="1"/>
  <c r="G4282" i="14"/>
  <c r="G3760" i="14"/>
  <c r="H570" i="14" a="1"/>
  <c r="F381" i="14"/>
  <c r="H4281" i="14" a="1"/>
  <c r="H4716" i="14" a="1"/>
  <c r="F2556" i="14"/>
  <c r="G3238" i="14"/>
  <c r="G1994" i="14"/>
  <c r="F3935" i="14"/>
  <c r="F772" i="14"/>
  <c r="F4196" i="14"/>
  <c r="F707" i="14"/>
  <c r="H3324" i="14" a="1"/>
  <c r="H1453" i="14" a="1"/>
  <c r="F574" i="14"/>
  <c r="H313" i="14" a="1"/>
  <c r="H441" i="14" a="1"/>
  <c r="H185" i="14" a="1"/>
  <c r="F3674" i="14"/>
  <c r="G4978" i="14"/>
  <c r="H377" i="14" a="1"/>
  <c r="H3237" i="14" a="1"/>
  <c r="G1814" i="14"/>
  <c r="G2084" i="14"/>
  <c r="H2443" i="14" a="1"/>
  <c r="F643" i="14"/>
  <c r="G186" i="14"/>
  <c r="G571" i="14"/>
  <c r="G1454" i="14"/>
  <c r="H2534" i="14" a="1"/>
  <c r="G2535" i="14"/>
  <c r="F3239" i="14"/>
  <c r="G250" i="14"/>
  <c r="F59" i="14"/>
  <c r="H4977" i="14" a="1"/>
  <c r="G1904" i="14"/>
  <c r="F189" i="14"/>
  <c r="G442" i="14"/>
  <c r="H2263" i="14" a="1"/>
  <c r="G4456" i="14"/>
  <c r="H1543" i="14" a="1"/>
  <c r="H3411" i="14" a="1"/>
  <c r="H59" i="14" a="1"/>
  <c r="G4021" i="14"/>
  <c r="H2353" i="14" a="1"/>
  <c r="H505" i="14" a="1"/>
  <c r="F4805" i="14"/>
  <c r="G1364" i="14"/>
  <c r="H3846" i="14" a="1"/>
  <c r="G2264" i="14"/>
  <c r="G60" i="14"/>
  <c r="H3759" i="14" a="1"/>
  <c r="F4457" i="14"/>
  <c r="H4542" i="14" a="1"/>
  <c r="G824" i="14"/>
  <c r="F3500" i="14"/>
  <c r="G2174" i="14"/>
  <c r="H4107" i="14" a="1"/>
  <c r="F445" i="14"/>
  <c r="F3326" i="14"/>
  <c r="H4020" i="14" a="1"/>
  <c r="F509" i="14"/>
  <c r="H4194" i="14" a="1"/>
  <c r="G734" i="14"/>
  <c r="F4544" i="14"/>
  <c r="G914" i="14"/>
  <c r="H823" i="14" a="1"/>
  <c r="H1993" i="14" a="1"/>
  <c r="G4195" i="14"/>
  <c r="F4892" i="14"/>
  <c r="H643" i="14" a="1"/>
  <c r="H1183" i="14" a="1"/>
  <c r="G122" i="14"/>
  <c r="F4718" i="14"/>
  <c r="G1274" i="14"/>
  <c r="H4629" i="14" a="1"/>
  <c r="H3933" i="14" a="1"/>
  <c r="H1273" i="14" a="1"/>
  <c r="G2354" i="14"/>
  <c r="H4890" i="14" a="1"/>
  <c r="G3934" i="14"/>
  <c r="H3672" i="14" a="1"/>
  <c r="G1184" i="14"/>
  <c r="G4804" i="14"/>
  <c r="F317" i="14"/>
  <c r="G3499" i="14"/>
  <c r="G3847" i="14"/>
  <c r="G3673" i="14"/>
  <c r="F2463" i="14"/>
  <c r="G314" i="14"/>
  <c r="G3325" i="14"/>
  <c r="H1633" i="14" a="1"/>
  <c r="F4022" i="14"/>
  <c r="G2444" i="14"/>
  <c r="G1094" i="14"/>
  <c r="G1724" i="14"/>
  <c r="H913" i="14" a="1"/>
  <c r="G4630" i="14"/>
  <c r="F4631" i="14"/>
  <c r="G1634" i="14"/>
  <c r="H4455" i="14" a="1"/>
  <c r="F3761" i="14"/>
  <c r="H121" i="14" a="1"/>
  <c r="H4368" i="14" a="1"/>
  <c r="H1363" i="14" a="1"/>
  <c r="F4370" i="14"/>
  <c r="H733" i="14" a="1"/>
  <c r="G1004" i="14"/>
  <c r="G5066" i="14"/>
  <c r="H1813" i="14" a="1"/>
  <c r="G3586" i="14"/>
  <c r="G4108" i="14"/>
  <c r="G4543" i="14"/>
  <c r="F4109" i="14"/>
  <c r="H3585" i="14" a="1"/>
  <c r="F253" i="14"/>
  <c r="F3413" i="14"/>
  <c r="F4979" i="14"/>
  <c r="G3412" i="14"/>
  <c r="G1544" i="14"/>
  <c r="G506" i="14"/>
  <c r="H1903" i="14" l="1"/>
  <c r="H441" i="14"/>
  <c r="H313" i="14"/>
  <c r="H1813" i="14"/>
  <c r="H249" i="14"/>
  <c r="H377" i="14"/>
  <c r="H4890" i="14"/>
  <c r="H2083" i="14"/>
  <c r="H3498" i="14"/>
  <c r="H3933" i="14"/>
  <c r="H4629" i="14"/>
  <c r="H2534" i="14"/>
  <c r="H570" i="14"/>
  <c r="H3324" i="14"/>
  <c r="H643" i="14"/>
  <c r="H3585" i="14"/>
  <c r="H4542" i="14"/>
  <c r="H1993" i="14"/>
  <c r="H823" i="14"/>
  <c r="H3237" i="14"/>
  <c r="H1183" i="14"/>
  <c r="H4281" i="14"/>
  <c r="H4107" i="14"/>
  <c r="H4977" i="14"/>
  <c r="H5065" i="14"/>
  <c r="H3759" i="14"/>
  <c r="H3846" i="14"/>
  <c r="H1453" i="14"/>
  <c r="H2263" i="14"/>
  <c r="H4020" i="14"/>
  <c r="H4803" i="14"/>
  <c r="H913" i="14"/>
  <c r="H59" i="14"/>
  <c r="H1003" i="14"/>
  <c r="H1093" i="14"/>
  <c r="H4716" i="14"/>
  <c r="H4455" i="14"/>
  <c r="H1723" i="14"/>
  <c r="H2353" i="14"/>
  <c r="H185" i="14"/>
  <c r="H1363" i="14"/>
  <c r="H3411" i="14"/>
  <c r="H1543" i="14"/>
  <c r="H4194" i="14"/>
  <c r="H1633" i="14"/>
  <c r="H505" i="14"/>
  <c r="H733" i="14"/>
  <c r="H1273" i="14"/>
  <c r="H2443" i="14"/>
  <c r="H4368" i="14"/>
  <c r="H121" i="14"/>
  <c r="H2173" i="14"/>
  <c r="H3672" i="14"/>
  <c r="B4372" i="14"/>
  <c r="C1726" i="14"/>
  <c r="C4110" i="14"/>
  <c r="C572" i="14"/>
  <c r="B447" i="14"/>
  <c r="B255" i="14"/>
  <c r="B3850" i="14"/>
  <c r="C4023" i="14"/>
  <c r="B4459" i="14"/>
  <c r="C736" i="14"/>
  <c r="C646" i="14"/>
  <c r="C4980" i="14"/>
  <c r="B3676" i="14"/>
  <c r="C3240" i="14"/>
  <c r="C3327" i="14"/>
  <c r="C1366" i="14"/>
  <c r="C3501" i="14"/>
  <c r="B3415" i="14"/>
  <c r="C2446" i="14"/>
  <c r="C1276" i="14"/>
  <c r="C252" i="14"/>
  <c r="C826" i="14"/>
  <c r="C1096" i="14"/>
  <c r="C4893" i="14"/>
  <c r="C1996" i="14"/>
  <c r="B2558" i="14"/>
  <c r="C3762" i="14"/>
  <c r="C2536" i="14"/>
  <c r="C508" i="14"/>
  <c r="B319" i="14"/>
  <c r="B127" i="14"/>
  <c r="B191" i="14"/>
  <c r="B61" i="14"/>
  <c r="B4720" i="14"/>
  <c r="B4024" i="14"/>
  <c r="B575" i="14"/>
  <c r="B3328" i="14"/>
  <c r="B3241" i="14"/>
  <c r="C1546" i="14"/>
  <c r="C2356" i="14"/>
  <c r="C4806" i="14"/>
  <c r="C3849" i="14"/>
  <c r="B4633" i="14"/>
  <c r="C4719" i="14"/>
  <c r="C1186" i="14"/>
  <c r="C4632" i="14"/>
  <c r="C2086" i="14"/>
  <c r="B2465" i="14"/>
  <c r="C4197" i="14"/>
  <c r="C1816" i="14"/>
  <c r="C3414" i="14"/>
  <c r="C62" i="14"/>
  <c r="C1456" i="14"/>
  <c r="C316" i="14"/>
  <c r="C188" i="14"/>
  <c r="C124" i="14"/>
  <c r="C4371" i="14"/>
  <c r="C1906" i="14"/>
  <c r="B5068" i="14"/>
  <c r="B4111" i="14"/>
  <c r="B3589" i="14"/>
  <c r="B3502" i="14"/>
  <c r="B4807" i="14"/>
  <c r="C3936" i="14"/>
  <c r="C380" i="14"/>
  <c r="B3937" i="14"/>
  <c r="B383" i="14"/>
  <c r="B3763" i="14"/>
  <c r="C444" i="14"/>
  <c r="B709" i="14"/>
  <c r="B645" i="14"/>
  <c r="C1006" i="14"/>
  <c r="B511" i="14"/>
  <c r="C2176" i="14"/>
  <c r="C4545" i="14"/>
  <c r="C3588" i="14"/>
  <c r="B4546" i="14"/>
  <c r="C3675" i="14"/>
  <c r="B4198" i="14"/>
  <c r="C5067" i="14"/>
  <c r="B4894" i="14"/>
  <c r="B4981" i="14"/>
  <c r="C1636" i="14"/>
  <c r="C2266" i="14"/>
  <c r="C4458" i="14"/>
  <c r="B773" i="14"/>
  <c r="C4284" i="14"/>
  <c r="C916" i="14"/>
  <c r="B4285" i="14"/>
  <c r="H4456" i="14" a="1"/>
  <c r="H3934" i="14" a="1"/>
  <c r="F708" i="14"/>
  <c r="F4458" i="14"/>
  <c r="G572" i="14"/>
  <c r="H1724" i="14" a="1"/>
  <c r="G3848" i="14"/>
  <c r="F4023" i="14"/>
  <c r="G3587" i="14"/>
  <c r="F446" i="14"/>
  <c r="G4022" i="14"/>
  <c r="H4195" i="14" a="1"/>
  <c r="H3238" i="14" a="1"/>
  <c r="F3414" i="14"/>
  <c r="G1275" i="14"/>
  <c r="H571" i="14" a="1"/>
  <c r="F3588" i="14"/>
  <c r="G1185" i="14"/>
  <c r="H4630" i="14" a="1"/>
  <c r="H3847" i="14" a="1"/>
  <c r="F4545" i="14"/>
  <c r="G3413" i="14"/>
  <c r="F510" i="14"/>
  <c r="H4543" i="14" a="1"/>
  <c r="H122" i="14" a="1"/>
  <c r="H1004" i="14" a="1"/>
  <c r="F3501" i="14"/>
  <c r="H1094" i="14" a="1"/>
  <c r="G1095" i="14"/>
  <c r="F126" i="14"/>
  <c r="H824" i="14" a="1"/>
  <c r="F4632" i="14"/>
  <c r="G4283" i="14"/>
  <c r="H3586" i="14" a="1"/>
  <c r="H2535" i="14" a="1"/>
  <c r="G1905" i="14"/>
  <c r="H3412" i="14" a="1"/>
  <c r="G123" i="14"/>
  <c r="G4892" i="14"/>
  <c r="G2445" i="14"/>
  <c r="H734" i="14" a="1"/>
  <c r="G3326" i="14"/>
  <c r="G187" i="14"/>
  <c r="H1454" i="14" a="1"/>
  <c r="G2175" i="14"/>
  <c r="G251" i="14"/>
  <c r="H5066" i="14" a="1"/>
  <c r="F60" i="14"/>
  <c r="F3675" i="14"/>
  <c r="F2557" i="14"/>
  <c r="F4110" i="14"/>
  <c r="H2264" i="14" a="1"/>
  <c r="H378" i="14" a="1"/>
  <c r="F3327" i="14"/>
  <c r="H4108" i="14" a="1"/>
  <c r="G61" i="14"/>
  <c r="F382" i="14"/>
  <c r="F4806" i="14"/>
  <c r="H1544" i="14" a="1"/>
  <c r="G4631" i="14"/>
  <c r="H60" i="14" a="1"/>
  <c r="H1904" i="14" a="1"/>
  <c r="G2536" i="14"/>
  <c r="F4893" i="14"/>
  <c r="F5068" i="14"/>
  <c r="G4805" i="14"/>
  <c r="G4718" i="14"/>
  <c r="H3673" i="14" a="1"/>
  <c r="G1365" i="14"/>
  <c r="G1005" i="14"/>
  <c r="H3760" i="14" a="1"/>
  <c r="H4978" i="14" a="1"/>
  <c r="G4544" i="14"/>
  <c r="F3849" i="14"/>
  <c r="G3935" i="14"/>
  <c r="G379" i="14"/>
  <c r="G1815" i="14"/>
  <c r="F4980" i="14"/>
  <c r="H644" i="14" a="1"/>
  <c r="G2265" i="14"/>
  <c r="G4457" i="14"/>
  <c r="H1364" i="14" a="1"/>
  <c r="H4021" i="14" a="1"/>
  <c r="G5067" i="14"/>
  <c r="G443" i="14"/>
  <c r="H4282" i="14" a="1"/>
  <c r="G645" i="14"/>
  <c r="G3761" i="14"/>
  <c r="H1994" i="14" a="1"/>
  <c r="G3239" i="14"/>
  <c r="H4891" i="14" a="1"/>
  <c r="F644" i="14"/>
  <c r="H3499" i="14" a="1"/>
  <c r="H2084" i="14" a="1"/>
  <c r="F3762" i="14"/>
  <c r="G825" i="14"/>
  <c r="G2085" i="14"/>
  <c r="H250" i="14" a="1"/>
  <c r="F773" i="14"/>
  <c r="H1274" i="14" a="1"/>
  <c r="F2464" i="14"/>
  <c r="H4804" i="14" a="1"/>
  <c r="F190" i="14"/>
  <c r="G915" i="14"/>
  <c r="H1634" i="14" a="1"/>
  <c r="F4284" i="14"/>
  <c r="H914" i="14" a="1"/>
  <c r="G3674" i="14"/>
  <c r="H4717" i="14" a="1"/>
  <c r="F575" i="14"/>
  <c r="G507" i="14"/>
  <c r="F3936" i="14"/>
  <c r="G2355" i="14"/>
  <c r="H2174" i="14" a="1"/>
  <c r="F4371" i="14"/>
  <c r="G315" i="14"/>
  <c r="G1995" i="14"/>
  <c r="G4196" i="14"/>
  <c r="G1455" i="14"/>
  <c r="H506" i="14" a="1"/>
  <c r="F318" i="14"/>
  <c r="F4197" i="14"/>
  <c r="F254" i="14"/>
  <c r="G1545" i="14"/>
  <c r="H4369" i="14" a="1"/>
  <c r="F3240" i="14"/>
  <c r="H2444" i="14" a="1"/>
  <c r="G735" i="14"/>
  <c r="H1814" i="14" a="1"/>
  <c r="G1725" i="14"/>
  <c r="G4370" i="14"/>
  <c r="F4719" i="14"/>
  <c r="H3325" i="14" a="1"/>
  <c r="H2354" i="14" a="1"/>
  <c r="G3500" i="14"/>
  <c r="H1184" i="14" a="1"/>
  <c r="H186" i="14" a="1"/>
  <c r="G1635" i="14"/>
  <c r="H314" i="14" a="1"/>
  <c r="G4109" i="14"/>
  <c r="G4979" i="14"/>
  <c r="H442" i="14" a="1"/>
  <c r="H1724" i="14" l="1"/>
  <c r="H3412" i="14"/>
  <c r="H914" i="14"/>
  <c r="H2174" i="14"/>
  <c r="H3325" i="14"/>
  <c r="H3586" i="14"/>
  <c r="H3847" i="14"/>
  <c r="H1814" i="14"/>
  <c r="H1184" i="14"/>
  <c r="H1094" i="14"/>
  <c r="H250" i="14"/>
  <c r="H4108" i="14"/>
  <c r="H2264" i="14"/>
  <c r="H122" i="14"/>
  <c r="H186" i="14"/>
  <c r="H506" i="14"/>
  <c r="H2444" i="14"/>
  <c r="H4630" i="14"/>
  <c r="H1994" i="14"/>
  <c r="H442" i="14"/>
  <c r="H1454" i="14"/>
  <c r="H4021" i="14"/>
  <c r="H2084" i="14"/>
  <c r="H734" i="14"/>
  <c r="H5066" i="14"/>
  <c r="H4978" i="14"/>
  <c r="H3760" i="14"/>
  <c r="H4543" i="14"/>
  <c r="H2535" i="14"/>
  <c r="H3238" i="14"/>
  <c r="H1364" i="14"/>
  <c r="H4804" i="14"/>
  <c r="H4717" i="14"/>
  <c r="H3934" i="14"/>
  <c r="H4456" i="14"/>
  <c r="H824" i="14"/>
  <c r="H1004" i="14"/>
  <c r="H3673" i="14"/>
  <c r="H4195" i="14"/>
  <c r="H3499" i="14"/>
  <c r="H1274" i="14"/>
  <c r="H2354" i="14"/>
  <c r="H1904" i="14"/>
  <c r="H1634" i="14"/>
  <c r="H4282" i="14"/>
  <c r="H1544" i="14"/>
  <c r="H314" i="14"/>
  <c r="H644" i="14"/>
  <c r="H4891" i="14"/>
  <c r="H4369" i="14"/>
  <c r="H378" i="14"/>
  <c r="H60" i="14"/>
  <c r="H571" i="14"/>
  <c r="B4373" i="14"/>
  <c r="C4807" i="14"/>
  <c r="B4112" i="14"/>
  <c r="B128" i="14"/>
  <c r="B192" i="14"/>
  <c r="C2537" i="14"/>
  <c r="C827" i="14"/>
  <c r="B320" i="14"/>
  <c r="C4024" i="14"/>
  <c r="C2177" i="14"/>
  <c r="B4895" i="14"/>
  <c r="C317" i="14"/>
  <c r="C3589" i="14"/>
  <c r="B3764" i="14"/>
  <c r="C4372" i="14"/>
  <c r="B710" i="14"/>
  <c r="B646" i="14"/>
  <c r="B3590" i="14"/>
  <c r="C4720" i="14"/>
  <c r="B3329" i="14"/>
  <c r="B3242" i="14"/>
  <c r="B62" i="14"/>
  <c r="C2087" i="14"/>
  <c r="C5068" i="14"/>
  <c r="C4111" i="14"/>
  <c r="B4982" i="14"/>
  <c r="C189" i="14"/>
  <c r="C125" i="14"/>
  <c r="B3851" i="14"/>
  <c r="C253" i="14"/>
  <c r="B384" i="14"/>
  <c r="B2559" i="14"/>
  <c r="B4547" i="14"/>
  <c r="B4460" i="14"/>
  <c r="C381" i="14"/>
  <c r="C1907" i="14"/>
  <c r="C573" i="14"/>
  <c r="B774" i="14"/>
  <c r="B4025" i="14"/>
  <c r="C1547" i="14"/>
  <c r="C1277" i="14"/>
  <c r="C4981" i="14"/>
  <c r="B576" i="14"/>
  <c r="C1817" i="14"/>
  <c r="B4199" i="14"/>
  <c r="C3502" i="14"/>
  <c r="C917" i="14"/>
  <c r="C3676" i="14"/>
  <c r="B3503" i="14"/>
  <c r="C1727" i="14"/>
  <c r="C4633" i="14"/>
  <c r="B448" i="14"/>
  <c r="C3937" i="14"/>
  <c r="B4808" i="14"/>
  <c r="C1997" i="14"/>
  <c r="C4285" i="14"/>
  <c r="B3416" i="14"/>
  <c r="C1367" i="14"/>
  <c r="B5069" i="14"/>
  <c r="C3763" i="14"/>
  <c r="C2267" i="14"/>
  <c r="C509" i="14"/>
  <c r="C445" i="14"/>
  <c r="C4894" i="14"/>
  <c r="C1457" i="14"/>
  <c r="B3938" i="14"/>
  <c r="C4198" i="14"/>
  <c r="C1187" i="14"/>
  <c r="C1007" i="14"/>
  <c r="C1097" i="14"/>
  <c r="C1637" i="14"/>
  <c r="C3328" i="14"/>
  <c r="C3241" i="14"/>
  <c r="C2357" i="14"/>
  <c r="B4721" i="14"/>
  <c r="B512" i="14"/>
  <c r="B4286" i="14"/>
  <c r="C4546" i="14"/>
  <c r="B4634" i="14"/>
  <c r="B3677" i="14"/>
  <c r="C4459" i="14"/>
  <c r="C63" i="14"/>
  <c r="B2466" i="14"/>
  <c r="C2447" i="14"/>
  <c r="B256" i="14"/>
  <c r="C3850" i="14"/>
  <c r="C3415" i="14"/>
  <c r="C737" i="14"/>
  <c r="C647" i="14"/>
  <c r="H1365" i="14" a="1"/>
  <c r="G3849" i="14"/>
  <c r="F774" i="14"/>
  <c r="H3239" i="14" a="1"/>
  <c r="G1906" i="14"/>
  <c r="H4370" i="14" a="1"/>
  <c r="F4024" i="14"/>
  <c r="F4981" i="14"/>
  <c r="H4805" i="14" a="1"/>
  <c r="H825" i="14" a="1"/>
  <c r="F4720" i="14"/>
  <c r="H187" i="14" a="1"/>
  <c r="H1455" i="14" a="1"/>
  <c r="G573" i="14"/>
  <c r="F4198" i="14"/>
  <c r="H1005" i="14" a="1"/>
  <c r="F4111" i="14"/>
  <c r="F4807" i="14"/>
  <c r="H1545" i="14" a="1"/>
  <c r="F191" i="14"/>
  <c r="F3676" i="14"/>
  <c r="F511" i="14"/>
  <c r="G4719" i="14"/>
  <c r="F5069" i="14"/>
  <c r="H2445" i="14" a="1"/>
  <c r="G4980" i="14"/>
  <c r="F2465" i="14"/>
  <c r="F4459" i="14"/>
  <c r="F645" i="14"/>
  <c r="H4283" i="14" a="1"/>
  <c r="H3587" i="14" a="1"/>
  <c r="G1096" i="14"/>
  <c r="F709" i="14"/>
  <c r="H3326" i="14" a="1"/>
  <c r="F127" i="14"/>
  <c r="G124" i="14"/>
  <c r="G2356" i="14"/>
  <c r="H1725" i="14" a="1"/>
  <c r="G2176" i="14"/>
  <c r="H4022" i="14" a="1"/>
  <c r="G188" i="14"/>
  <c r="G4284" i="14"/>
  <c r="H3674" i="14" a="1"/>
  <c r="F3850" i="14"/>
  <c r="H3761" i="14" a="1"/>
  <c r="F2558" i="14"/>
  <c r="H251" i="14" a="1"/>
  <c r="H1185" i="14" a="1"/>
  <c r="H645" i="14" a="1"/>
  <c r="G1636" i="14"/>
  <c r="G1276" i="14"/>
  <c r="F3502" i="14"/>
  <c r="G3936" i="14"/>
  <c r="G4371" i="14"/>
  <c r="G444" i="14"/>
  <c r="F3328" i="14"/>
  <c r="G2086" i="14"/>
  <c r="F576" i="14"/>
  <c r="H1995" i="14" a="1"/>
  <c r="G62" i="14"/>
  <c r="G3675" i="14"/>
  <c r="H4196" i="14" a="1"/>
  <c r="G2537" i="14"/>
  <c r="G826" i="14"/>
  <c r="H1815" i="14" a="1"/>
  <c r="H4892" i="14" a="1"/>
  <c r="F383" i="14"/>
  <c r="H4109" i="14" a="1"/>
  <c r="H1905" i="14" a="1"/>
  <c r="G3327" i="14"/>
  <c r="H2536" i="14" a="1"/>
  <c r="H315" i="14" a="1"/>
  <c r="G1006" i="14"/>
  <c r="G3762" i="14"/>
  <c r="G1816" i="14"/>
  <c r="F3937" i="14"/>
  <c r="H4457" i="14" a="1"/>
  <c r="G3240" i="14"/>
  <c r="H2085" i="14" a="1"/>
  <c r="H4544" i="14" a="1"/>
  <c r="G736" i="14"/>
  <c r="G2446" i="14"/>
  <c r="H3500" i="14" a="1"/>
  <c r="H3848" i="14" a="1"/>
  <c r="F4894" i="14"/>
  <c r="F4285" i="14"/>
  <c r="H3935" i="14" a="1"/>
  <c r="G252" i="14"/>
  <c r="G4545" i="14"/>
  <c r="F3415" i="14"/>
  <c r="H4979" i="14" a="1"/>
  <c r="H61" i="14" a="1"/>
  <c r="F255" i="14"/>
  <c r="G3588" i="14"/>
  <c r="H2175" i="14" a="1"/>
  <c r="G508" i="14"/>
  <c r="H4631" i="14" a="1"/>
  <c r="H379" i="14" a="1"/>
  <c r="G4110" i="14"/>
  <c r="G1726" i="14"/>
  <c r="G1366" i="14"/>
  <c r="H2355" i="14" a="1"/>
  <c r="F3589" i="14"/>
  <c r="H507" i="14" a="1"/>
  <c r="G380" i="14"/>
  <c r="G1996" i="14"/>
  <c r="F319" i="14"/>
  <c r="H2265" i="14" a="1"/>
  <c r="G916" i="14"/>
  <c r="G4023" i="14"/>
  <c r="H572" i="14" a="1"/>
  <c r="G4632" i="14"/>
  <c r="H4718" i="14" a="1"/>
  <c r="G4806" i="14"/>
  <c r="F447" i="14"/>
  <c r="G316" i="14"/>
  <c r="G3501" i="14"/>
  <c r="F4633" i="14"/>
  <c r="F4546" i="14"/>
  <c r="H1095" i="14" a="1"/>
  <c r="G4197" i="14"/>
  <c r="G5068" i="14"/>
  <c r="H123" i="14" a="1"/>
  <c r="F4372" i="14"/>
  <c r="H915" i="14" a="1"/>
  <c r="H3413" i="14" a="1"/>
  <c r="G1456" i="14"/>
  <c r="H1635" i="14" a="1"/>
  <c r="F3763" i="14"/>
  <c r="H735" i="14" a="1"/>
  <c r="G1546" i="14"/>
  <c r="G1186" i="14"/>
  <c r="H5067" i="14" a="1"/>
  <c r="G4458" i="14"/>
  <c r="F3241" i="14"/>
  <c r="G3414" i="14"/>
  <c r="H1275" i="14" a="1"/>
  <c r="G2266" i="14"/>
  <c r="H443" i="14" a="1"/>
  <c r="G646" i="14"/>
  <c r="G4893" i="14"/>
  <c r="F61" i="14"/>
  <c r="H1185" i="14" l="1"/>
  <c r="H3239" i="14"/>
  <c r="H1725" i="14"/>
  <c r="H4631" i="14"/>
  <c r="H4718" i="14"/>
  <c r="H3674" i="14"/>
  <c r="H825" i="14"/>
  <c r="H2085" i="14"/>
  <c r="H4022" i="14"/>
  <c r="H1815" i="14"/>
  <c r="H379" i="14"/>
  <c r="H3935" i="14"/>
  <c r="H507" i="14"/>
  <c r="H3326" i="14"/>
  <c r="H4109" i="14"/>
  <c r="H4544" i="14"/>
  <c r="H3587" i="14"/>
  <c r="H3413" i="14"/>
  <c r="H1545" i="14"/>
  <c r="H1005" i="14"/>
  <c r="H2445" i="14"/>
  <c r="H2175" i="14"/>
  <c r="H1995" i="14"/>
  <c r="H4805" i="14"/>
  <c r="H61" i="14"/>
  <c r="H251" i="14"/>
  <c r="H315" i="14"/>
  <c r="H2536" i="14"/>
  <c r="H3848" i="14"/>
  <c r="H3500" i="14"/>
  <c r="H1095" i="14"/>
  <c r="H1275" i="14"/>
  <c r="H4457" i="14"/>
  <c r="H2265" i="14"/>
  <c r="H1365" i="14"/>
  <c r="H4196" i="14"/>
  <c r="H1455" i="14"/>
  <c r="H187" i="14"/>
  <c r="H572" i="14"/>
  <c r="H1635" i="14"/>
  <c r="H4370" i="14"/>
  <c r="H4283" i="14"/>
  <c r="H5067" i="14"/>
  <c r="H123" i="14"/>
  <c r="H443" i="14"/>
  <c r="H1905" i="14"/>
  <c r="H2355" i="14"/>
  <c r="H645" i="14"/>
  <c r="H4892" i="14"/>
  <c r="H4979" i="14"/>
  <c r="H915" i="14"/>
  <c r="H3761" i="14"/>
  <c r="H735" i="14"/>
  <c r="C4721" i="14"/>
  <c r="B4722" i="14"/>
  <c r="B4896" i="14"/>
  <c r="B711" i="14"/>
  <c r="B647" i="14"/>
  <c r="C4112" i="14"/>
  <c r="B577" i="14"/>
  <c r="C3416" i="14"/>
  <c r="C4982" i="14"/>
  <c r="C3851" i="14"/>
  <c r="C4373" i="14"/>
  <c r="C3764" i="14"/>
  <c r="C1908" i="14"/>
  <c r="C1638" i="14"/>
  <c r="C1998" i="14"/>
  <c r="B2560" i="14"/>
  <c r="C190" i="14"/>
  <c r="C126" i="14"/>
  <c r="C2178" i="14"/>
  <c r="C4808" i="14"/>
  <c r="C2268" i="14"/>
  <c r="C4895" i="14"/>
  <c r="C828" i="14"/>
  <c r="C2538" i="14"/>
  <c r="B3765" i="14"/>
  <c r="C4286" i="14"/>
  <c r="C2088" i="14"/>
  <c r="C1008" i="14"/>
  <c r="B449" i="14"/>
  <c r="C254" i="14"/>
  <c r="B3852" i="14"/>
  <c r="B5070" i="14"/>
  <c r="B3678" i="14"/>
  <c r="C1818" i="14"/>
  <c r="C3938" i="14"/>
  <c r="B385" i="14"/>
  <c r="C64" i="14"/>
  <c r="C4634" i="14"/>
  <c r="C2358" i="14"/>
  <c r="C4025" i="14"/>
  <c r="C1368" i="14"/>
  <c r="C4199" i="14"/>
  <c r="B3330" i="14"/>
  <c r="B3243" i="14"/>
  <c r="B775" i="14"/>
  <c r="C382" i="14"/>
  <c r="B4200" i="14"/>
  <c r="C3503" i="14"/>
  <c r="B2467" i="14"/>
  <c r="C1728" i="14"/>
  <c r="C510" i="14"/>
  <c r="C446" i="14"/>
  <c r="B257" i="14"/>
  <c r="C2448" i="14"/>
  <c r="B4026" i="14"/>
  <c r="C5069" i="14"/>
  <c r="C318" i="14"/>
  <c r="B321" i="14"/>
  <c r="C4547" i="14"/>
  <c r="C1098" i="14"/>
  <c r="C1548" i="14"/>
  <c r="B3504" i="14"/>
  <c r="B3591" i="14"/>
  <c r="B4287" i="14"/>
  <c r="B4635" i="14"/>
  <c r="B3939" i="14"/>
  <c r="B3417" i="14"/>
  <c r="C918" i="14"/>
  <c r="B4113" i="14"/>
  <c r="B4461" i="14"/>
  <c r="B4809" i="14"/>
  <c r="C3590" i="14"/>
  <c r="B63" i="14"/>
  <c r="C3677" i="14"/>
  <c r="B129" i="14"/>
  <c r="B193" i="14"/>
  <c r="C1188" i="14"/>
  <c r="C574" i="14"/>
  <c r="C1458" i="14"/>
  <c r="B4548" i="14"/>
  <c r="C738" i="14"/>
  <c r="C648" i="14"/>
  <c r="B4374" i="14"/>
  <c r="C3329" i="14"/>
  <c r="C3242" i="14"/>
  <c r="C1278" i="14"/>
  <c r="B513" i="14"/>
  <c r="C4460" i="14"/>
  <c r="B4983" i="14"/>
  <c r="H252" i="14" a="1"/>
  <c r="H2176" i="14" a="1"/>
  <c r="G317" i="14"/>
  <c r="G63" i="14"/>
  <c r="F2559" i="14"/>
  <c r="H4284" i="14" a="1"/>
  <c r="G1457" i="14"/>
  <c r="H1456" i="14" a="1"/>
  <c r="G917" i="14"/>
  <c r="H4458" i="14" a="1"/>
  <c r="G4546" i="14"/>
  <c r="F256" i="14"/>
  <c r="H62" i="14" a="1"/>
  <c r="H4371" i="14" a="1"/>
  <c r="H1276" i="14" a="1"/>
  <c r="F320" i="14"/>
  <c r="H2446" i="14" a="1"/>
  <c r="G3937" i="14"/>
  <c r="H4023" i="14" a="1"/>
  <c r="G2447" i="14"/>
  <c r="G5069" i="14"/>
  <c r="G647" i="14"/>
  <c r="F512" i="14"/>
  <c r="G2267" i="14"/>
  <c r="G1907" i="14"/>
  <c r="H736" i="14" a="1"/>
  <c r="H1726" i="14" a="1"/>
  <c r="H5068" i="14" a="1"/>
  <c r="F2466" i="14"/>
  <c r="H3936" i="14" a="1"/>
  <c r="F3503" i="14"/>
  <c r="G1007" i="14"/>
  <c r="G4633" i="14"/>
  <c r="H1636" i="14" a="1"/>
  <c r="F4112" i="14"/>
  <c r="F646" i="14"/>
  <c r="H1006" i="14" a="1"/>
  <c r="G3589" i="14"/>
  <c r="H1546" i="14" a="1"/>
  <c r="G445" i="14"/>
  <c r="H2537" i="14" a="1"/>
  <c r="G381" i="14"/>
  <c r="G2087" i="14"/>
  <c r="G4024" i="14"/>
  <c r="G3850" i="14"/>
  <c r="F775" i="14"/>
  <c r="H1816" i="14" a="1"/>
  <c r="F5070" i="14"/>
  <c r="G4285" i="14"/>
  <c r="G1277" i="14"/>
  <c r="F3677" i="14"/>
  <c r="G2177" i="14"/>
  <c r="H1366" i="14" a="1"/>
  <c r="H3675" i="14" a="1"/>
  <c r="H2356" i="14" a="1"/>
  <c r="G253" i="14"/>
  <c r="H316" i="14" a="1"/>
  <c r="H1906" i="14" a="1"/>
  <c r="H1096" i="14" a="1"/>
  <c r="G574" i="14"/>
  <c r="F3329" i="14"/>
  <c r="G3415" i="14"/>
  <c r="G3241" i="14"/>
  <c r="G125" i="14"/>
  <c r="F62" i="14"/>
  <c r="F4547" i="14"/>
  <c r="H3501" i="14" a="1"/>
  <c r="H3849" i="14" a="1"/>
  <c r="G4807" i="14"/>
  <c r="H4110" i="14" a="1"/>
  <c r="H4719" i="14" a="1"/>
  <c r="F4808" i="14"/>
  <c r="G1547" i="14"/>
  <c r="F4982" i="14"/>
  <c r="H4197" i="14" a="1"/>
  <c r="G3763" i="14"/>
  <c r="F4199" i="14"/>
  <c r="F448" i="14"/>
  <c r="H124" i="14" a="1"/>
  <c r="F3242" i="14"/>
  <c r="F3416" i="14"/>
  <c r="H826" i="14" a="1"/>
  <c r="H4632" i="14" a="1"/>
  <c r="H646" i="14" a="1"/>
  <c r="G4720" i="14"/>
  <c r="H3327" i="14" a="1"/>
  <c r="G1727" i="14"/>
  <c r="H4893" i="14" a="1"/>
  <c r="G4981" i="14"/>
  <c r="F384" i="14"/>
  <c r="F710" i="14"/>
  <c r="G2357" i="14"/>
  <c r="F4721" i="14"/>
  <c r="H4545" i="14" a="1"/>
  <c r="F4286" i="14"/>
  <c r="G2538" i="14"/>
  <c r="H444" i="14" a="1"/>
  <c r="G1817" i="14"/>
  <c r="F4373" i="14"/>
  <c r="G1637" i="14"/>
  <c r="G4372" i="14"/>
  <c r="H1996" i="14" a="1"/>
  <c r="G3328" i="14"/>
  <c r="H4980" i="14" a="1"/>
  <c r="H2266" i="14" a="1"/>
  <c r="H3240" i="14" a="1"/>
  <c r="G827" i="14"/>
  <c r="F577" i="14"/>
  <c r="G4894" i="14"/>
  <c r="G4198" i="14"/>
  <c r="G4459" i="14"/>
  <c r="G4111" i="14"/>
  <c r="H4806" i="14" a="1"/>
  <c r="H380" i="14" a="1"/>
  <c r="H3762" i="14" a="1"/>
  <c r="G1187" i="14"/>
  <c r="G3502" i="14"/>
  <c r="F3851" i="14"/>
  <c r="H188" i="14" a="1"/>
  <c r="F3938" i="14"/>
  <c r="G189" i="14"/>
  <c r="G1997" i="14"/>
  <c r="H3414" i="14" a="1"/>
  <c r="F4895" i="14"/>
  <c r="F128" i="14"/>
  <c r="G3676" i="14"/>
  <c r="F192" i="14"/>
  <c r="G737" i="14"/>
  <c r="G1097" i="14"/>
  <c r="F4025" i="14"/>
  <c r="H508" i="14" a="1"/>
  <c r="F4460" i="14"/>
  <c r="H2086" i="14" a="1"/>
  <c r="H3588" i="14" a="1"/>
  <c r="F3590" i="14"/>
  <c r="H573" i="14" a="1"/>
  <c r="G509" i="14"/>
  <c r="H916" i="14" a="1"/>
  <c r="G1367" i="14"/>
  <c r="H1186" i="14" a="1"/>
  <c r="F4634" i="14"/>
  <c r="F3764" i="14"/>
  <c r="H4197" i="14" l="1"/>
  <c r="H3675" i="14"/>
  <c r="H3240" i="14"/>
  <c r="H2086" i="14"/>
  <c r="H4806" i="14"/>
  <c r="H1636" i="14"/>
  <c r="H1996" i="14"/>
  <c r="H124" i="14"/>
  <c r="H4284" i="14"/>
  <c r="H3762" i="14"/>
  <c r="H444" i="14"/>
  <c r="H3414" i="14"/>
  <c r="H4980" i="14"/>
  <c r="H4545" i="14"/>
  <c r="H1456" i="14"/>
  <c r="H4458" i="14"/>
  <c r="H573" i="14"/>
  <c r="H1006" i="14"/>
  <c r="H4023" i="14"/>
  <c r="H380" i="14"/>
  <c r="H736" i="14"/>
  <c r="H4632" i="14"/>
  <c r="H826" i="14"/>
  <c r="H916" i="14"/>
  <c r="H2356" i="14"/>
  <c r="H5068" i="14"/>
  <c r="H4110" i="14"/>
  <c r="H2266" i="14"/>
  <c r="H646" i="14"/>
  <c r="H4371" i="14"/>
  <c r="H62" i="14"/>
  <c r="H316" i="14"/>
  <c r="H1816" i="14"/>
  <c r="H4893" i="14"/>
  <c r="H252" i="14"/>
  <c r="H1726" i="14"/>
  <c r="H1276" i="14"/>
  <c r="H1186" i="14"/>
  <c r="H3501" i="14"/>
  <c r="H188" i="14"/>
  <c r="H1546" i="14"/>
  <c r="H4719" i="14"/>
  <c r="H3588" i="14"/>
  <c r="H3327" i="14"/>
  <c r="H3849" i="14"/>
  <c r="H508" i="14"/>
  <c r="H1906" i="14"/>
  <c r="H2537" i="14"/>
  <c r="H3936" i="14"/>
  <c r="H2176" i="14"/>
  <c r="H1366" i="14"/>
  <c r="H2446" i="14"/>
  <c r="H1096" i="14"/>
  <c r="C4026" i="14"/>
  <c r="C3417" i="14"/>
  <c r="B4897" i="14"/>
  <c r="B3505" i="14"/>
  <c r="C1729" i="14"/>
  <c r="C3939" i="14"/>
  <c r="C4809" i="14"/>
  <c r="C4548" i="14"/>
  <c r="C1549" i="14"/>
  <c r="B4027" i="14"/>
  <c r="C319" i="14"/>
  <c r="B4549" i="14"/>
  <c r="B3766" i="14"/>
  <c r="B514" i="14"/>
  <c r="B3853" i="14"/>
  <c r="C255" i="14"/>
  <c r="C1999" i="14"/>
  <c r="C5070" i="14"/>
  <c r="C739" i="14"/>
  <c r="C649" i="14"/>
  <c r="B4723" i="14"/>
  <c r="C1639" i="14"/>
  <c r="B322" i="14"/>
  <c r="B2468" i="14"/>
  <c r="C1459" i="14"/>
  <c r="C65" i="14"/>
  <c r="B2561" i="14"/>
  <c r="B776" i="14"/>
  <c r="C3330" i="14"/>
  <c r="C3243" i="14"/>
  <c r="B4636" i="14"/>
  <c r="B3679" i="14"/>
  <c r="C4635" i="14"/>
  <c r="B3940" i="14"/>
  <c r="C4200" i="14"/>
  <c r="B4288" i="14"/>
  <c r="B4462" i="14"/>
  <c r="B386" i="14"/>
  <c r="C1819" i="14"/>
  <c r="B578" i="14"/>
  <c r="B3592" i="14"/>
  <c r="C447" i="14"/>
  <c r="C829" i="14"/>
  <c r="B64" i="14"/>
  <c r="B4201" i="14"/>
  <c r="C383" i="14"/>
  <c r="C4113" i="14"/>
  <c r="B450" i="14"/>
  <c r="C3852" i="14"/>
  <c r="B4984" i="14"/>
  <c r="B5071" i="14"/>
  <c r="B194" i="14"/>
  <c r="B130" i="14"/>
  <c r="C2269" i="14"/>
  <c r="C4722" i="14"/>
  <c r="C4983" i="14"/>
  <c r="C3765" i="14"/>
  <c r="C2539" i="14"/>
  <c r="C2359" i="14"/>
  <c r="C1369" i="14"/>
  <c r="C1279" i="14"/>
  <c r="C3504" i="14"/>
  <c r="C1009" i="14"/>
  <c r="B4375" i="14"/>
  <c r="C1189" i="14"/>
  <c r="C3591" i="14"/>
  <c r="B3244" i="14"/>
  <c r="B3331" i="14"/>
  <c r="C1099" i="14"/>
  <c r="C4896" i="14"/>
  <c r="C2089" i="14"/>
  <c r="B4114" i="14"/>
  <c r="C2179" i="14"/>
  <c r="C575" i="14"/>
  <c r="C4287" i="14"/>
  <c r="C1909" i="14"/>
  <c r="C4374" i="14"/>
  <c r="C191" i="14"/>
  <c r="C127" i="14"/>
  <c r="B712" i="14"/>
  <c r="B648" i="14"/>
  <c r="B258" i="14"/>
  <c r="C3678" i="14"/>
  <c r="C511" i="14"/>
  <c r="B3418" i="14"/>
  <c r="C2449" i="14"/>
  <c r="C919" i="14"/>
  <c r="C4461" i="14"/>
  <c r="B4810" i="14"/>
  <c r="H1907" i="14" a="1"/>
  <c r="F3330" i="14"/>
  <c r="F578" i="14"/>
  <c r="H381" i="14" a="1"/>
  <c r="F513" i="14"/>
  <c r="G3329" i="14"/>
  <c r="F3852" i="14"/>
  <c r="G2539" i="14"/>
  <c r="F449" i="14"/>
  <c r="H4894" i="14" a="1"/>
  <c r="H3328" i="14" a="1"/>
  <c r="G1818" i="14"/>
  <c r="H1547" i="14" a="1"/>
  <c r="H253" i="14" a="1"/>
  <c r="G575" i="14"/>
  <c r="G1548" i="14"/>
  <c r="G64" i="14"/>
  <c r="F4635" i="14"/>
  <c r="H63" i="14" a="1"/>
  <c r="H1277" i="14" a="1"/>
  <c r="H317" i="14" a="1"/>
  <c r="H917" i="14" a="1"/>
  <c r="F4026" i="14"/>
  <c r="H1097" i="14" a="1"/>
  <c r="G1008" i="14"/>
  <c r="H4981" i="14" a="1"/>
  <c r="H4024" i="14" a="1"/>
  <c r="H4111" i="14" a="1"/>
  <c r="F385" i="14"/>
  <c r="H827" i="14" a="1"/>
  <c r="F129" i="14"/>
  <c r="G510" i="14"/>
  <c r="H2357" i="14" a="1"/>
  <c r="H4459" i="14" a="1"/>
  <c r="G4460" i="14"/>
  <c r="G3677" i="14"/>
  <c r="H125" i="14" a="1"/>
  <c r="G5070" i="14"/>
  <c r="H2087" i="14" a="1"/>
  <c r="F2560" i="14"/>
  <c r="H3415" i="14" a="1"/>
  <c r="F4809" i="14"/>
  <c r="F193" i="14"/>
  <c r="G738" i="14"/>
  <c r="H3676" i="14" a="1"/>
  <c r="G828" i="14"/>
  <c r="H2538" i="14" a="1"/>
  <c r="F2467" i="14"/>
  <c r="H1187" i="14" a="1"/>
  <c r="F3678" i="14"/>
  <c r="H1457" i="14" a="1"/>
  <c r="G446" i="14"/>
  <c r="H4198" i="14" a="1"/>
  <c r="F3504" i="14"/>
  <c r="H5069" i="14" a="1"/>
  <c r="G1278" i="14"/>
  <c r="F4374" i="14"/>
  <c r="G3416" i="14"/>
  <c r="G2448" i="14"/>
  <c r="G1638" i="14"/>
  <c r="G3764" i="14"/>
  <c r="H3763" i="14" a="1"/>
  <c r="G1098" i="14"/>
  <c r="H4720" i="14" a="1"/>
  <c r="G1908" i="14"/>
  <c r="G4286" i="14"/>
  <c r="F3243" i="14"/>
  <c r="G1458" i="14"/>
  <c r="H4372" i="14" a="1"/>
  <c r="H737" i="14" a="1"/>
  <c r="G4025" i="14"/>
  <c r="H4807" i="14" a="1"/>
  <c r="G3242" i="14"/>
  <c r="F4287" i="14"/>
  <c r="G3851" i="14"/>
  <c r="F3939" i="14"/>
  <c r="G1368" i="14"/>
  <c r="H647" i="14" a="1"/>
  <c r="F257" i="14"/>
  <c r="H3589" i="14" a="1"/>
  <c r="H3937" i="14" a="1"/>
  <c r="H3502" i="14" a="1"/>
  <c r="F4896" i="14"/>
  <c r="F647" i="14"/>
  <c r="H1997" i="14" a="1"/>
  <c r="F3417" i="14"/>
  <c r="H1007" i="14" a="1"/>
  <c r="H2447" i="14" a="1"/>
  <c r="G3503" i="14"/>
  <c r="F5071" i="14"/>
  <c r="G4808" i="14"/>
  <c r="G4895" i="14"/>
  <c r="G3938" i="14"/>
  <c r="H3241" i="14" a="1"/>
  <c r="H4285" i="14" a="1"/>
  <c r="F4461" i="14"/>
  <c r="G1728" i="14"/>
  <c r="G4547" i="14"/>
  <c r="H2177" i="14" a="1"/>
  <c r="G4199" i="14"/>
  <c r="G4634" i="14"/>
  <c r="G648" i="14"/>
  <c r="H189" i="14" a="1"/>
  <c r="G3590" i="14"/>
  <c r="G4112" i="14"/>
  <c r="F321" i="14"/>
  <c r="G1188" i="14"/>
  <c r="H574" i="14" a="1"/>
  <c r="G190" i="14"/>
  <c r="H2267" i="14" a="1"/>
  <c r="G254" i="14"/>
  <c r="G318" i="14"/>
  <c r="H4546" i="14" a="1"/>
  <c r="F776" i="14"/>
  <c r="H3850" i="14" a="1"/>
  <c r="F4200" i="14"/>
  <c r="H509" i="14" a="1"/>
  <c r="G4721" i="14"/>
  <c r="F4722" i="14"/>
  <c r="G382" i="14"/>
  <c r="G918" i="14"/>
  <c r="H1637" i="14" a="1"/>
  <c r="G2358" i="14"/>
  <c r="F3765" i="14"/>
  <c r="F3591" i="14"/>
  <c r="G126" i="14"/>
  <c r="H4633" i="14" a="1"/>
  <c r="F63" i="14"/>
  <c r="G2178" i="14"/>
  <c r="G2268" i="14"/>
  <c r="G4982" i="14"/>
  <c r="H1367" i="14" a="1"/>
  <c r="F711" i="14"/>
  <c r="H1817" i="14" a="1"/>
  <c r="G4373" i="14"/>
  <c r="F4983" i="14"/>
  <c r="F4113" i="14"/>
  <c r="G2088" i="14"/>
  <c r="H445" i="14" a="1"/>
  <c r="H1727" i="14" a="1"/>
  <c r="F4548" i="14"/>
  <c r="G1998" i="14"/>
  <c r="H4633" i="14" l="1"/>
  <c r="H3850" i="14"/>
  <c r="H4024" i="14"/>
  <c r="H1367" i="14"/>
  <c r="H1637" i="14"/>
  <c r="H2267" i="14"/>
  <c r="H647" i="14"/>
  <c r="H3763" i="14"/>
  <c r="H509" i="14"/>
  <c r="H1007" i="14"/>
  <c r="H4285" i="14"/>
  <c r="H1187" i="14"/>
  <c r="H4546" i="14"/>
  <c r="H3328" i="14"/>
  <c r="H4894" i="14"/>
  <c r="H4198" i="14"/>
  <c r="H574" i="14"/>
  <c r="H4459" i="14"/>
  <c r="H63" i="14"/>
  <c r="H3415" i="14"/>
  <c r="H189" i="14"/>
  <c r="H827" i="14"/>
  <c r="H4720" i="14"/>
  <c r="H3676" i="14"/>
  <c r="H4111" i="14"/>
  <c r="H4981" i="14"/>
  <c r="H4372" i="14"/>
  <c r="H2357" i="14"/>
  <c r="H1097" i="14"/>
  <c r="H445" i="14"/>
  <c r="H5069" i="14"/>
  <c r="H125" i="14"/>
  <c r="H2447" i="14"/>
  <c r="H737" i="14"/>
  <c r="H1907" i="14"/>
  <c r="H3241" i="14"/>
  <c r="H3937" i="14"/>
  <c r="H917" i="14"/>
  <c r="H2538" i="14"/>
  <c r="H2177" i="14"/>
  <c r="H4807" i="14"/>
  <c r="H1997" i="14"/>
  <c r="H1817" i="14"/>
  <c r="H3502" i="14"/>
  <c r="H1547" i="14"/>
  <c r="H3589" i="14"/>
  <c r="H2087" i="14"/>
  <c r="H317" i="14"/>
  <c r="H381" i="14"/>
  <c r="H1277" i="14"/>
  <c r="H1457" i="14"/>
  <c r="H253" i="14"/>
  <c r="H1727" i="14"/>
  <c r="C3679" i="14"/>
  <c r="B4898" i="14"/>
  <c r="B4202" i="14"/>
  <c r="B3245" i="14"/>
  <c r="B3332" i="14"/>
  <c r="C4810" i="14"/>
  <c r="C1910" i="14"/>
  <c r="C4288" i="14"/>
  <c r="B4724" i="14"/>
  <c r="C3505" i="14"/>
  <c r="B777" i="14"/>
  <c r="C4375" i="14"/>
  <c r="C1100" i="14"/>
  <c r="C2450" i="14"/>
  <c r="B5072" i="14"/>
  <c r="B451" i="14"/>
  <c r="C66" i="14"/>
  <c r="C1730" i="14"/>
  <c r="C2090" i="14"/>
  <c r="B3854" i="14"/>
  <c r="C4114" i="14"/>
  <c r="C4549" i="14"/>
  <c r="C2360" i="14"/>
  <c r="C512" i="14"/>
  <c r="B4550" i="14"/>
  <c r="C3418" i="14"/>
  <c r="C3766" i="14"/>
  <c r="B4289" i="14"/>
  <c r="B2469" i="14"/>
  <c r="C650" i="14"/>
  <c r="C740" i="14"/>
  <c r="C320" i="14"/>
  <c r="B4637" i="14"/>
  <c r="C4636" i="14"/>
  <c r="B3593" i="14"/>
  <c r="B323" i="14"/>
  <c r="C1190" i="14"/>
  <c r="C1370" i="14"/>
  <c r="C3853" i="14"/>
  <c r="B259" i="14"/>
  <c r="B515" i="14"/>
  <c r="B3941" i="14"/>
  <c r="B4985" i="14"/>
  <c r="C448" i="14"/>
  <c r="B4028" i="14"/>
  <c r="C3331" i="14"/>
  <c r="C3244" i="14"/>
  <c r="C1640" i="14"/>
  <c r="C1820" i="14"/>
  <c r="C1010" i="14"/>
  <c r="C256" i="14"/>
  <c r="B195" i="14"/>
  <c r="B131" i="14"/>
  <c r="C3940" i="14"/>
  <c r="B3680" i="14"/>
  <c r="C4723" i="14"/>
  <c r="C2540" i="14"/>
  <c r="C4462" i="14"/>
  <c r="C2270" i="14"/>
  <c r="B4463" i="14"/>
  <c r="B65" i="14"/>
  <c r="B4376" i="14"/>
  <c r="B3767" i="14"/>
  <c r="B2562" i="14"/>
  <c r="B387" i="14"/>
  <c r="C830" i="14"/>
  <c r="C384" i="14"/>
  <c r="C4897" i="14"/>
  <c r="C576" i="14"/>
  <c r="C2180" i="14"/>
  <c r="C192" i="14"/>
  <c r="C128" i="14"/>
  <c r="C3592" i="14"/>
  <c r="C1550" i="14"/>
  <c r="B4811" i="14"/>
  <c r="C4984" i="14"/>
  <c r="C1280" i="14"/>
  <c r="B3506" i="14"/>
  <c r="B713" i="14"/>
  <c r="B649" i="14"/>
  <c r="C2000" i="14"/>
  <c r="B3419" i="14"/>
  <c r="C1460" i="14"/>
  <c r="C5071" i="14"/>
  <c r="C4201" i="14"/>
  <c r="C920" i="14"/>
  <c r="B579" i="14"/>
  <c r="B4115" i="14"/>
  <c r="C4027" i="14"/>
  <c r="H3329" i="14" a="1"/>
  <c r="G576" i="14"/>
  <c r="G4722" i="14"/>
  <c r="H2088" i="14" a="1"/>
  <c r="F5072" i="14"/>
  <c r="H4025" i="14" a="1"/>
  <c r="G1999" i="14"/>
  <c r="F4375" i="14"/>
  <c r="H1998" i="14" a="1"/>
  <c r="G2269" i="14"/>
  <c r="G4896" i="14"/>
  <c r="F579" i="14"/>
  <c r="H126" i="14" a="1"/>
  <c r="H318" i="14" a="1"/>
  <c r="F4288" i="14"/>
  <c r="H4982" i="14" a="1"/>
  <c r="G3591" i="14"/>
  <c r="H2358" i="14" a="1"/>
  <c r="F4027" i="14"/>
  <c r="G1099" i="14"/>
  <c r="F4549" i="14"/>
  <c r="G4374" i="14"/>
  <c r="H738" i="14" a="1"/>
  <c r="F4810" i="14"/>
  <c r="F4636" i="14"/>
  <c r="H2268" i="14" a="1"/>
  <c r="F3505" i="14"/>
  <c r="H1008" i="14" a="1"/>
  <c r="H3590" i="14" a="1"/>
  <c r="H4373" i="14" a="1"/>
  <c r="H4112" i="14" a="1"/>
  <c r="H5070" i="14" a="1"/>
  <c r="G1909" i="14"/>
  <c r="G4809" i="14"/>
  <c r="F648" i="14"/>
  <c r="F3679" i="14"/>
  <c r="F3592" i="14"/>
  <c r="G1009" i="14"/>
  <c r="F64" i="14"/>
  <c r="F2561" i="14"/>
  <c r="G511" i="14"/>
  <c r="H1908" i="14" a="1"/>
  <c r="G1639" i="14"/>
  <c r="G2449" i="14"/>
  <c r="G3765" i="14"/>
  <c r="F3418" i="14"/>
  <c r="G3939" i="14"/>
  <c r="G319" i="14"/>
  <c r="G2089" i="14"/>
  <c r="G3417" i="14"/>
  <c r="H4460" i="14" a="1"/>
  <c r="H2448" i="14" a="1"/>
  <c r="H3851" i="14" a="1"/>
  <c r="G4026" i="14"/>
  <c r="G4200" i="14"/>
  <c r="G4548" i="14"/>
  <c r="F450" i="14"/>
  <c r="F130" i="14"/>
  <c r="G3330" i="14"/>
  <c r="H4199" i="14" a="1"/>
  <c r="H1188" i="14" a="1"/>
  <c r="H3503" i="14" a="1"/>
  <c r="F712" i="14"/>
  <c r="H1098" i="14" a="1"/>
  <c r="H2178" i="14" a="1"/>
  <c r="F4462" i="14"/>
  <c r="F3853" i="14"/>
  <c r="G65" i="14"/>
  <c r="H254" i="14" a="1"/>
  <c r="G4287" i="14"/>
  <c r="H4286" i="14" a="1"/>
  <c r="H1368" i="14" a="1"/>
  <c r="G829" i="14"/>
  <c r="G255" i="14"/>
  <c r="H510" i="14" a="1"/>
  <c r="G3504" i="14"/>
  <c r="H3764" i="14" a="1"/>
  <c r="G1189" i="14"/>
  <c r="G919" i="14"/>
  <c r="H3677" i="14" a="1"/>
  <c r="F3331" i="14"/>
  <c r="F777" i="14"/>
  <c r="H4895" i="14" a="1"/>
  <c r="G4635" i="14"/>
  <c r="H1278" i="14" a="1"/>
  <c r="F322" i="14"/>
  <c r="G3678" i="14"/>
  <c r="F3244" i="14"/>
  <c r="H4721" i="14" a="1"/>
  <c r="H1818" i="14" a="1"/>
  <c r="H1638" i="14" a="1"/>
  <c r="H3938" i="14" a="1"/>
  <c r="G3852" i="14"/>
  <c r="G1369" i="14"/>
  <c r="G1459" i="14"/>
  <c r="F4984" i="14"/>
  <c r="G4113" i="14"/>
  <c r="G739" i="14"/>
  <c r="F4201" i="14"/>
  <c r="G2359" i="14"/>
  <c r="G1279" i="14"/>
  <c r="G4461" i="14"/>
  <c r="F4114" i="14"/>
  <c r="G191" i="14"/>
  <c r="F258" i="14"/>
  <c r="G649" i="14"/>
  <c r="H575" i="14" a="1"/>
  <c r="F386" i="14"/>
  <c r="H1458" i="14" a="1"/>
  <c r="H4547" i="14" a="1"/>
  <c r="H1548" i="14" a="1"/>
  <c r="H382" i="14" a="1"/>
  <c r="F3766" i="14"/>
  <c r="H3242" i="14" a="1"/>
  <c r="H190" i="14" a="1"/>
  <c r="H446" i="14" a="1"/>
  <c r="G447" i="14"/>
  <c r="H918" i="14" a="1"/>
  <c r="H4808" i="14" a="1"/>
  <c r="G1819" i="14"/>
  <c r="G127" i="14"/>
  <c r="H648" i="14" a="1"/>
  <c r="F194" i="14"/>
  <c r="G2540" i="14"/>
  <c r="H3416" i="14" a="1"/>
  <c r="F514" i="14"/>
  <c r="F4897" i="14"/>
  <c r="G1549" i="14"/>
  <c r="F2468" i="14"/>
  <c r="G1729" i="14"/>
  <c r="H4634" i="14" a="1"/>
  <c r="G383" i="14"/>
  <c r="F4723" i="14"/>
  <c r="H1728" i="14" a="1"/>
  <c r="G5071" i="14"/>
  <c r="G2179" i="14"/>
  <c r="G4983" i="14"/>
  <c r="H828" i="14" a="1"/>
  <c r="F3940" i="14"/>
  <c r="H64" i="14" a="1"/>
  <c r="G3243" i="14"/>
  <c r="H2539" i="14" a="1"/>
  <c r="H4808" i="14" l="1"/>
  <c r="H918" i="14"/>
  <c r="H1458" i="14"/>
  <c r="H4895" i="14"/>
  <c r="H4982" i="14"/>
  <c r="H1278" i="14"/>
  <c r="H126" i="14"/>
  <c r="H382" i="14"/>
  <c r="H1548" i="14"/>
  <c r="H4547" i="14"/>
  <c r="H1008" i="14"/>
  <c r="H4721" i="14"/>
  <c r="H2539" i="14"/>
  <c r="H318" i="14"/>
  <c r="H64" i="14"/>
  <c r="H4112" i="14"/>
  <c r="H4373" i="14"/>
  <c r="H3590" i="14"/>
  <c r="H1818" i="14"/>
  <c r="H2358" i="14"/>
  <c r="H1188" i="14"/>
  <c r="H254" i="14"/>
  <c r="H4634" i="14"/>
  <c r="H738" i="14"/>
  <c r="H3938" i="14"/>
  <c r="H1638" i="14"/>
  <c r="H1368" i="14"/>
  <c r="H4286" i="14"/>
  <c r="H2448" i="14"/>
  <c r="H4199" i="14"/>
  <c r="H4460" i="14"/>
  <c r="H3677" i="14"/>
  <c r="H3764" i="14"/>
  <c r="H510" i="14"/>
  <c r="H3329" i="14"/>
  <c r="H3503" i="14"/>
  <c r="H190" i="14"/>
  <c r="H648" i="14"/>
  <c r="H1908" i="14"/>
  <c r="H1998" i="14"/>
  <c r="H4025" i="14"/>
  <c r="H2088" i="14"/>
  <c r="H1728" i="14"/>
  <c r="H3851" i="14"/>
  <c r="H575" i="14"/>
  <c r="H3242" i="14"/>
  <c r="H5070" i="14"/>
  <c r="H828" i="14"/>
  <c r="H2178" i="14"/>
  <c r="H1098" i="14"/>
  <c r="H3416" i="14"/>
  <c r="H446" i="14"/>
  <c r="H2268" i="14"/>
  <c r="B5073" i="14"/>
  <c r="C3941" i="14"/>
  <c r="B3681" i="14"/>
  <c r="C741" i="14"/>
  <c r="C651" i="14"/>
  <c r="C5072" i="14"/>
  <c r="C2361" i="14"/>
  <c r="C321" i="14"/>
  <c r="C4637" i="14"/>
  <c r="C3593" i="14"/>
  <c r="C3767" i="14"/>
  <c r="B4029" i="14"/>
  <c r="B3420" i="14"/>
  <c r="B778" i="14"/>
  <c r="C921" i="14"/>
  <c r="C4202" i="14"/>
  <c r="B3246" i="14"/>
  <c r="B3333" i="14"/>
  <c r="C1551" i="14"/>
  <c r="B3594" i="14"/>
  <c r="C2271" i="14"/>
  <c r="C4550" i="14"/>
  <c r="B4116" i="14"/>
  <c r="B4725" i="14"/>
  <c r="B4377" i="14"/>
  <c r="B3942" i="14"/>
  <c r="B516" i="14"/>
  <c r="C4463" i="14"/>
  <c r="C4289" i="14"/>
  <c r="C3245" i="14"/>
  <c r="C3332" i="14"/>
  <c r="C1821" i="14"/>
  <c r="B4203" i="14"/>
  <c r="B4899" i="14"/>
  <c r="B4464" i="14"/>
  <c r="B580" i="14"/>
  <c r="C1281" i="14"/>
  <c r="C67" i="14"/>
  <c r="B3507" i="14"/>
  <c r="C1911" i="14"/>
  <c r="C577" i="14"/>
  <c r="C4376" i="14"/>
  <c r="B650" i="14"/>
  <c r="B714" i="14"/>
  <c r="B3855" i="14"/>
  <c r="B3768" i="14"/>
  <c r="C3419" i="14"/>
  <c r="C2541" i="14"/>
  <c r="C4898" i="14"/>
  <c r="C257" i="14"/>
  <c r="C449" i="14"/>
  <c r="C4724" i="14"/>
  <c r="B4638" i="14"/>
  <c r="C4028" i="14"/>
  <c r="B2470" i="14"/>
  <c r="B4812" i="14"/>
  <c r="C1641" i="14"/>
  <c r="B452" i="14"/>
  <c r="B196" i="14"/>
  <c r="B132" i="14"/>
  <c r="B324" i="14"/>
  <c r="B388" i="14"/>
  <c r="C1011" i="14"/>
  <c r="B66" i="14"/>
  <c r="B260" i="14"/>
  <c r="C1731" i="14"/>
  <c r="C513" i="14"/>
  <c r="C385" i="14"/>
  <c r="C3854" i="14"/>
  <c r="C2001" i="14"/>
  <c r="B4290" i="14"/>
  <c r="C2091" i="14"/>
  <c r="C4811" i="14"/>
  <c r="C193" i="14"/>
  <c r="C129" i="14"/>
  <c r="C3506" i="14"/>
  <c r="C1101" i="14"/>
  <c r="C1461" i="14"/>
  <c r="C1191" i="14"/>
  <c r="C4115" i="14"/>
  <c r="C1371" i="14"/>
  <c r="C3680" i="14"/>
  <c r="C4985" i="14"/>
  <c r="B2563" i="14"/>
  <c r="B4551" i="14"/>
  <c r="C831" i="14"/>
  <c r="C2451" i="14"/>
  <c r="C2181" i="14"/>
  <c r="B4986" i="14"/>
  <c r="H2449" i="14" a="1"/>
  <c r="G4984" i="14"/>
  <c r="G256" i="14"/>
  <c r="H1009" i="14" a="1"/>
  <c r="H1729" i="14" a="1"/>
  <c r="H5071" i="14" a="1"/>
  <c r="G650" i="14"/>
  <c r="G5072" i="14"/>
  <c r="F451" i="14"/>
  <c r="H3504" i="14" a="1"/>
  <c r="F713" i="14"/>
  <c r="G577" i="14"/>
  <c r="F4202" i="14"/>
  <c r="H4635" i="14" a="1"/>
  <c r="H4722" i="14" a="1"/>
  <c r="F4463" i="14"/>
  <c r="G920" i="14"/>
  <c r="G66" i="14"/>
  <c r="G3505" i="14"/>
  <c r="G2450" i="14"/>
  <c r="H4983" i="14" a="1"/>
  <c r="H383" i="14" a="1"/>
  <c r="G3679" i="14"/>
  <c r="G2000" i="14"/>
  <c r="H447" i="14" a="1"/>
  <c r="G4288" i="14"/>
  <c r="F4637" i="14"/>
  <c r="H4809" i="14" a="1"/>
  <c r="G4636" i="14"/>
  <c r="G3766" i="14"/>
  <c r="H4461" i="14" a="1"/>
  <c r="G1280" i="14"/>
  <c r="F3332" i="14"/>
  <c r="H1279" i="14" a="1"/>
  <c r="G3418" i="14"/>
  <c r="F3854" i="14"/>
  <c r="H1099" i="14" a="1"/>
  <c r="H576" i="14" a="1"/>
  <c r="F387" i="14"/>
  <c r="G3244" i="14"/>
  <c r="G1100" i="14"/>
  <c r="H191" i="14" a="1"/>
  <c r="H1369" i="14" a="1"/>
  <c r="G4897" i="14"/>
  <c r="F3245" i="14"/>
  <c r="H919" i="14" a="1"/>
  <c r="F778" i="14"/>
  <c r="G4810" i="14"/>
  <c r="F3767" i="14"/>
  <c r="F4811" i="14"/>
  <c r="H3591" i="14" a="1"/>
  <c r="F195" i="14"/>
  <c r="G4462" i="14"/>
  <c r="F3419" i="14"/>
  <c r="G1370" i="14"/>
  <c r="H1819" i="14" a="1"/>
  <c r="F515" i="14"/>
  <c r="G2541" i="14"/>
  <c r="G4549" i="14"/>
  <c r="G1550" i="14"/>
  <c r="H2089" i="14" a="1"/>
  <c r="G2180" i="14"/>
  <c r="F3941" i="14"/>
  <c r="G4723" i="14"/>
  <c r="G448" i="14"/>
  <c r="H3330" i="14" a="1"/>
  <c r="F4289" i="14"/>
  <c r="G1640" i="14"/>
  <c r="F4550" i="14"/>
  <c r="F3680" i="14"/>
  <c r="H127" i="14" a="1"/>
  <c r="F3593" i="14"/>
  <c r="H649" i="14" a="1"/>
  <c r="G740" i="14"/>
  <c r="F5073" i="14"/>
  <c r="F2469" i="14"/>
  <c r="H4113" i="14" a="1"/>
  <c r="H739" i="14" a="1"/>
  <c r="G4027" i="14"/>
  <c r="G192" i="14"/>
  <c r="G2270" i="14"/>
  <c r="H3939" i="14" a="1"/>
  <c r="H2269" i="14" a="1"/>
  <c r="G1910" i="14"/>
  <c r="F65" i="14"/>
  <c r="F259" i="14"/>
  <c r="F580" i="14"/>
  <c r="G3592" i="14"/>
  <c r="H4026" i="14" a="1"/>
  <c r="G2360" i="14"/>
  <c r="H3852" i="14" a="1"/>
  <c r="G2090" i="14"/>
  <c r="G3853" i="14"/>
  <c r="G512" i="14"/>
  <c r="G384" i="14"/>
  <c r="F4028" i="14"/>
  <c r="H4548" i="14" a="1"/>
  <c r="F323" i="14"/>
  <c r="H1999" i="14" a="1"/>
  <c r="H829" i="14" a="1"/>
  <c r="G4114" i="14"/>
  <c r="G1730" i="14"/>
  <c r="G1190" i="14"/>
  <c r="G128" i="14"/>
  <c r="F4898" i="14"/>
  <c r="H1909" i="14" a="1"/>
  <c r="F4985" i="14"/>
  <c r="F649" i="14"/>
  <c r="H1639" i="14" a="1"/>
  <c r="G320" i="14"/>
  <c r="H2179" i="14" a="1"/>
  <c r="G3331" i="14"/>
  <c r="H3678" i="14" a="1"/>
  <c r="G1010" i="14"/>
  <c r="H255" i="14" a="1"/>
  <c r="G830" i="14"/>
  <c r="G4375" i="14"/>
  <c r="G1820" i="14"/>
  <c r="G4201" i="14"/>
  <c r="H3765" i="14" a="1"/>
  <c r="F131" i="14"/>
  <c r="H65" i="14" a="1"/>
  <c r="H4200" i="14" a="1"/>
  <c r="H1549" i="14" a="1"/>
  <c r="F3506" i="14"/>
  <c r="H511" i="14" a="1"/>
  <c r="H3243" i="14" a="1"/>
  <c r="H319" i="14" a="1"/>
  <c r="F4724" i="14"/>
  <c r="H4896" i="14" a="1"/>
  <c r="H1459" i="14" a="1"/>
  <c r="H2540" i="14" a="1"/>
  <c r="G3940" i="14"/>
  <c r="H2359" i="14" a="1"/>
  <c r="H1189" i="14" a="1"/>
  <c r="H4287" i="14" a="1"/>
  <c r="F4115" i="14"/>
  <c r="H4374" i="14" a="1"/>
  <c r="F4376" i="14"/>
  <c r="H3417" i="14" a="1"/>
  <c r="F2562" i="14"/>
  <c r="G1460" i="14"/>
  <c r="H4983" i="14" l="1"/>
  <c r="H1099" i="14"/>
  <c r="H1639" i="14"/>
  <c r="H4722" i="14"/>
  <c r="H4635" i="14"/>
  <c r="H4461" i="14"/>
  <c r="H3939" i="14"/>
  <c r="H739" i="14"/>
  <c r="H4113" i="14"/>
  <c r="H1999" i="14"/>
  <c r="H829" i="14"/>
  <c r="H127" i="14"/>
  <c r="H3417" i="14"/>
  <c r="H1459" i="14"/>
  <c r="H3504" i="14"/>
  <c r="H5071" i="14"/>
  <c r="H1729" i="14"/>
  <c r="H4809" i="14"/>
  <c r="H3852" i="14"/>
  <c r="H2540" i="14"/>
  <c r="H2089" i="14"/>
  <c r="H2269" i="14"/>
  <c r="H4374" i="14"/>
  <c r="H4287" i="14"/>
  <c r="H3330" i="14"/>
  <c r="H1009" i="14"/>
  <c r="H649" i="14"/>
  <c r="H1549" i="14"/>
  <c r="H3591" i="14"/>
  <c r="H383" i="14"/>
  <c r="H4896" i="14"/>
  <c r="H319" i="14"/>
  <c r="H1819" i="14"/>
  <c r="H4026" i="14"/>
  <c r="H2449" i="14"/>
  <c r="H1369" i="14"/>
  <c r="H255" i="14"/>
  <c r="H4200" i="14"/>
  <c r="H65" i="14"/>
  <c r="H3765" i="14"/>
  <c r="H919" i="14"/>
  <c r="H1189" i="14"/>
  <c r="H2359" i="14"/>
  <c r="H1279" i="14"/>
  <c r="H1909" i="14"/>
  <c r="H191" i="14"/>
  <c r="H3678" i="14"/>
  <c r="H2179" i="14"/>
  <c r="H576" i="14"/>
  <c r="H3243" i="14"/>
  <c r="H511" i="14"/>
  <c r="H447" i="14"/>
  <c r="H4548" i="14"/>
  <c r="B5074" i="14"/>
  <c r="C1462" i="14"/>
  <c r="B779" i="14"/>
  <c r="C4029" i="14"/>
  <c r="C514" i="14"/>
  <c r="C3681" i="14"/>
  <c r="C2272" i="14"/>
  <c r="C4203" i="14"/>
  <c r="C578" i="14"/>
  <c r="B3247" i="14"/>
  <c r="B3334" i="14"/>
  <c r="C5073" i="14"/>
  <c r="C130" i="14"/>
  <c r="C194" i="14"/>
  <c r="C4377" i="14"/>
  <c r="C1282" i="14"/>
  <c r="C2362" i="14"/>
  <c r="C386" i="14"/>
  <c r="C832" i="14"/>
  <c r="C1552" i="14"/>
  <c r="C2092" i="14"/>
  <c r="C1822" i="14"/>
  <c r="B453" i="14"/>
  <c r="C4986" i="14"/>
  <c r="B3943" i="14"/>
  <c r="C1372" i="14"/>
  <c r="B4291" i="14"/>
  <c r="C4551" i="14"/>
  <c r="B3682" i="14"/>
  <c r="C4290" i="14"/>
  <c r="B4117" i="14"/>
  <c r="B67" i="14"/>
  <c r="B4552" i="14"/>
  <c r="C3420" i="14"/>
  <c r="B581" i="14"/>
  <c r="B4204" i="14"/>
  <c r="B197" i="14"/>
  <c r="B133" i="14"/>
  <c r="C3507" i="14"/>
  <c r="B715" i="14"/>
  <c r="B651" i="14"/>
  <c r="C3594" i="14"/>
  <c r="C68" i="14"/>
  <c r="C322" i="14"/>
  <c r="B3856" i="14"/>
  <c r="B4987" i="14"/>
  <c r="C2542" i="14"/>
  <c r="B517" i="14"/>
  <c r="C4116" i="14"/>
  <c r="C922" i="14"/>
  <c r="C3768" i="14"/>
  <c r="C3942" i="14"/>
  <c r="C1732" i="14"/>
  <c r="B4726" i="14"/>
  <c r="C2002" i="14"/>
  <c r="B4813" i="14"/>
  <c r="C3855" i="14"/>
  <c r="B3769" i="14"/>
  <c r="C450" i="14"/>
  <c r="B3595" i="14"/>
  <c r="B2564" i="14"/>
  <c r="C2182" i="14"/>
  <c r="C3246" i="14"/>
  <c r="C3333" i="14"/>
  <c r="B4030" i="14"/>
  <c r="B3421" i="14"/>
  <c r="C1102" i="14"/>
  <c r="B261" i="14"/>
  <c r="B2471" i="14"/>
  <c r="C4464" i="14"/>
  <c r="C4638" i="14"/>
  <c r="B3508" i="14"/>
  <c r="B4378" i="14"/>
  <c r="B4465" i="14"/>
  <c r="C4725" i="14"/>
  <c r="C652" i="14"/>
  <c r="C742" i="14"/>
  <c r="C258" i="14"/>
  <c r="B4639" i="14"/>
  <c r="C1192" i="14"/>
  <c r="C4899" i="14"/>
  <c r="B325" i="14"/>
  <c r="B389" i="14"/>
  <c r="B4900" i="14"/>
  <c r="C4812" i="14"/>
  <c r="C1912" i="14"/>
  <c r="C1642" i="14"/>
  <c r="C1012" i="14"/>
  <c r="C2452" i="14"/>
  <c r="H1730" i="14" a="1"/>
  <c r="F3420" i="14"/>
  <c r="G5073" i="14"/>
  <c r="H4636" i="14" a="1"/>
  <c r="G1551" i="14"/>
  <c r="H650" i="14" a="1"/>
  <c r="F4812" i="14"/>
  <c r="H4723" i="14" a="1"/>
  <c r="G3245" i="14"/>
  <c r="G4289" i="14"/>
  <c r="G2271" i="14"/>
  <c r="H2090" i="14" a="1"/>
  <c r="G257" i="14"/>
  <c r="H1010" i="14" a="1"/>
  <c r="G4811" i="14"/>
  <c r="H3244" i="14" a="1"/>
  <c r="F4377" i="14"/>
  <c r="H2450" i="14" a="1"/>
  <c r="H4984" i="14" a="1"/>
  <c r="H1370" i="14" a="1"/>
  <c r="F2563" i="14"/>
  <c r="H128" i="14" a="1"/>
  <c r="G1821" i="14"/>
  <c r="G3680" i="14"/>
  <c r="G578" i="14"/>
  <c r="F4203" i="14"/>
  <c r="G2181" i="14"/>
  <c r="G1011" i="14"/>
  <c r="G68" i="14"/>
  <c r="H3505" i="14" a="1"/>
  <c r="G1101" i="14"/>
  <c r="F650" i="14"/>
  <c r="G385" i="14"/>
  <c r="H256" i="14" a="1"/>
  <c r="H3418" i="14" a="1"/>
  <c r="G1911" i="14"/>
  <c r="H1460" i="14" a="1"/>
  <c r="G4028" i="14"/>
  <c r="F196" i="14"/>
  <c r="G1281" i="14"/>
  <c r="G321" i="14"/>
  <c r="H3679" i="14" a="1"/>
  <c r="F66" i="14"/>
  <c r="H2270" i="14" a="1"/>
  <c r="F4464" i="14"/>
  <c r="F452" i="14"/>
  <c r="H4549" i="14" a="1"/>
  <c r="G3767" i="14"/>
  <c r="F516" i="14"/>
  <c r="G513" i="14"/>
  <c r="F3246" i="14"/>
  <c r="F3855" i="14"/>
  <c r="H4027" i="14" a="1"/>
  <c r="G1461" i="14"/>
  <c r="F3594" i="14"/>
  <c r="F581" i="14"/>
  <c r="H4114" i="14" a="1"/>
  <c r="F3507" i="14"/>
  <c r="F4986" i="14"/>
  <c r="F132" i="14"/>
  <c r="H512" i="14" a="1"/>
  <c r="H2000" i="14" a="1"/>
  <c r="H3766" i="14" a="1"/>
  <c r="G4637" i="14"/>
  <c r="F3768" i="14"/>
  <c r="G449" i="14"/>
  <c r="H1100" i="14" a="1"/>
  <c r="F3333" i="14"/>
  <c r="G129" i="14"/>
  <c r="H3592" i="14" a="1"/>
  <c r="G193" i="14"/>
  <c r="H2541" i="14" a="1"/>
  <c r="F4116" i="14"/>
  <c r="G2451" i="14"/>
  <c r="H4462" i="14" a="1"/>
  <c r="G3506" i="14"/>
  <c r="F4725" i="14"/>
  <c r="G3941" i="14"/>
  <c r="H1910" i="14" a="1"/>
  <c r="F714" i="14"/>
  <c r="G921" i="14"/>
  <c r="H4288" i="14" a="1"/>
  <c r="H577" i="14" a="1"/>
  <c r="F4290" i="14"/>
  <c r="H3940" i="14" a="1"/>
  <c r="F5074" i="14"/>
  <c r="H1280" i="14" a="1"/>
  <c r="G4550" i="14"/>
  <c r="H4897" i="14" a="1"/>
  <c r="F779" i="14"/>
  <c r="G2091" i="14"/>
  <c r="H4810" i="14" a="1"/>
  <c r="F4638" i="14"/>
  <c r="F3942" i="14"/>
  <c r="F2470" i="14"/>
  <c r="G741" i="14"/>
  <c r="H4201" i="14" a="1"/>
  <c r="G4985" i="14"/>
  <c r="H1550" i="14" a="1"/>
  <c r="G3854" i="14"/>
  <c r="G2542" i="14"/>
  <c r="H1190" i="14" a="1"/>
  <c r="G1641" i="14"/>
  <c r="G651" i="14"/>
  <c r="H1640" i="14" a="1"/>
  <c r="G2361" i="14"/>
  <c r="G2001" i="14"/>
  <c r="G4202" i="14"/>
  <c r="H2360" i="14" a="1"/>
  <c r="H3853" i="14" a="1"/>
  <c r="H830" i="14" a="1"/>
  <c r="F4029" i="14"/>
  <c r="F260" i="14"/>
  <c r="F388" i="14"/>
  <c r="F324" i="14"/>
  <c r="G67" i="14"/>
  <c r="G831" i="14"/>
  <c r="G3332" i="14"/>
  <c r="H920" i="14" a="1"/>
  <c r="G1371" i="14"/>
  <c r="G3593" i="14"/>
  <c r="H3331" i="14" a="1"/>
  <c r="G4724" i="14"/>
  <c r="G3419" i="14"/>
  <c r="H740" i="14" a="1"/>
  <c r="H5072" i="14" a="1"/>
  <c r="H66" i="14" a="1"/>
  <c r="G4898" i="14"/>
  <c r="F4899" i="14"/>
  <c r="G4115" i="14"/>
  <c r="H192" i="14" a="1"/>
  <c r="F3681" i="14"/>
  <c r="G4463" i="14"/>
  <c r="H384" i="14" a="1"/>
  <c r="G1731" i="14"/>
  <c r="H1820" i="14" a="1"/>
  <c r="H2180" i="14" a="1"/>
  <c r="G4376" i="14"/>
  <c r="F4551" i="14"/>
  <c r="H320" i="14" a="1"/>
  <c r="G1191" i="14"/>
  <c r="H4375" i="14" a="1"/>
  <c r="H448" i="14" a="1"/>
  <c r="H650" i="14" l="1"/>
  <c r="H1370" i="14"/>
  <c r="H1460" i="14"/>
  <c r="H256" i="14"/>
  <c r="H1280" i="14"/>
  <c r="H1640" i="14"/>
  <c r="H577" i="14"/>
  <c r="H830" i="14"/>
  <c r="H2180" i="14"/>
  <c r="H4462" i="14"/>
  <c r="H1550" i="14"/>
  <c r="H4288" i="14"/>
  <c r="H3244" i="14"/>
  <c r="H4201" i="14"/>
  <c r="H2090" i="14"/>
  <c r="H1190" i="14"/>
  <c r="H4114" i="14"/>
  <c r="H4636" i="14"/>
  <c r="H4984" i="14"/>
  <c r="H4897" i="14"/>
  <c r="H4375" i="14"/>
  <c r="H3940" i="14"/>
  <c r="H320" i="14"/>
  <c r="H128" i="14"/>
  <c r="H920" i="14"/>
  <c r="H1820" i="14"/>
  <c r="H2541" i="14"/>
  <c r="H2450" i="14"/>
  <c r="H2000" i="14"/>
  <c r="H1010" i="14"/>
  <c r="H192" i="14"/>
  <c r="H1910" i="14"/>
  <c r="H3853" i="14"/>
  <c r="H66" i="14"/>
  <c r="H1730" i="14"/>
  <c r="H448" i="14"/>
  <c r="H4027" i="14"/>
  <c r="H3592" i="14"/>
  <c r="H3331" i="14"/>
  <c r="H4723" i="14"/>
  <c r="H3505" i="14"/>
  <c r="H4549" i="14"/>
  <c r="H3766" i="14"/>
  <c r="H384" i="14"/>
  <c r="H2270" i="14"/>
  <c r="H512" i="14"/>
  <c r="H3679" i="14"/>
  <c r="H1100" i="14"/>
  <c r="H4810" i="14"/>
  <c r="H2360" i="14"/>
  <c r="H5072" i="14"/>
  <c r="H740" i="14"/>
  <c r="H3418" i="14"/>
  <c r="C4900" i="14"/>
  <c r="C833" i="14"/>
  <c r="C3595" i="14"/>
  <c r="B3335" i="14"/>
  <c r="B3248" i="14"/>
  <c r="C1553" i="14"/>
  <c r="B326" i="14"/>
  <c r="C515" i="14"/>
  <c r="C3508" i="14"/>
  <c r="C1463" i="14"/>
  <c r="C451" i="14"/>
  <c r="C259" i="14"/>
  <c r="C2093" i="14"/>
  <c r="C4726" i="14"/>
  <c r="C2273" i="14"/>
  <c r="B198" i="14"/>
  <c r="B4640" i="14"/>
  <c r="C1733" i="14"/>
  <c r="B454" i="14"/>
  <c r="B4727" i="14"/>
  <c r="B4553" i="14"/>
  <c r="C4552" i="14"/>
  <c r="B3509" i="14"/>
  <c r="B3857" i="14"/>
  <c r="B4814" i="14"/>
  <c r="B5075" i="14"/>
  <c r="C3682" i="14"/>
  <c r="B262" i="14"/>
  <c r="B3770" i="14"/>
  <c r="B4031" i="14"/>
  <c r="C2183" i="14"/>
  <c r="C2453" i="14"/>
  <c r="C4291" i="14"/>
  <c r="C4117" i="14"/>
  <c r="B3596" i="14"/>
  <c r="C3421" i="14"/>
  <c r="B4901" i="14"/>
  <c r="B582" i="14"/>
  <c r="C743" i="14"/>
  <c r="C653" i="14"/>
  <c r="C3334" i="14"/>
  <c r="C3247" i="14"/>
  <c r="C579" i="14"/>
  <c r="B4988" i="14"/>
  <c r="C1193" i="14"/>
  <c r="C4378" i="14"/>
  <c r="C2003" i="14"/>
  <c r="B68" i="14"/>
  <c r="B390" i="14"/>
  <c r="B2565" i="14"/>
  <c r="C1823" i="14"/>
  <c r="C4204" i="14"/>
  <c r="B716" i="14"/>
  <c r="B652" i="14"/>
  <c r="C5074" i="14"/>
  <c r="C1643" i="14"/>
  <c r="C2363" i="14"/>
  <c r="C2543" i="14"/>
  <c r="B3683" i="14"/>
  <c r="C4030" i="14"/>
  <c r="B4379" i="14"/>
  <c r="B518" i="14"/>
  <c r="C923" i="14"/>
  <c r="C1103" i="14"/>
  <c r="C3856" i="14"/>
  <c r="C1913" i="14"/>
  <c r="C1283" i="14"/>
  <c r="C195" i="14"/>
  <c r="C131" i="14"/>
  <c r="C4813" i="14"/>
  <c r="C1013" i="14"/>
  <c r="C323" i="14"/>
  <c r="C3943" i="14"/>
  <c r="B3944" i="14"/>
  <c r="B4292" i="14"/>
  <c r="C4639" i="14"/>
  <c r="C1373" i="14"/>
  <c r="C4987" i="14"/>
  <c r="B4466" i="14"/>
  <c r="B2472" i="14"/>
  <c r="B4118" i="14"/>
  <c r="C387" i="14"/>
  <c r="B780" i="14"/>
  <c r="B4205" i="14"/>
  <c r="C4465" i="14"/>
  <c r="B3422" i="14"/>
  <c r="C3769" i="14"/>
  <c r="H1821" i="14" a="1"/>
  <c r="G5074" i="14"/>
  <c r="H4811" i="14" a="1"/>
  <c r="G4290" i="14"/>
  <c r="H3767" i="14" a="1"/>
  <c r="H321" i="14" a="1"/>
  <c r="F4204" i="14"/>
  <c r="G2543" i="14"/>
  <c r="F68" i="14"/>
  <c r="G3507" i="14"/>
  <c r="G4986" i="14"/>
  <c r="H4985" i="14" a="1"/>
  <c r="H257" i="14" a="1"/>
  <c r="G3942" i="14"/>
  <c r="G579" i="14"/>
  <c r="F3856" i="14"/>
  <c r="F4726" i="14"/>
  <c r="G3420" i="14"/>
  <c r="F780" i="14"/>
  <c r="G4377" i="14"/>
  <c r="G3594" i="14"/>
  <c r="F4639" i="14"/>
  <c r="H68" i="14" a="1"/>
  <c r="H2181" i="14" a="1"/>
  <c r="H385" i="14" a="1"/>
  <c r="F4552" i="14"/>
  <c r="F325" i="14"/>
  <c r="H741" i="14" a="1"/>
  <c r="G2002" i="14"/>
  <c r="G1732" i="14"/>
  <c r="G4464" i="14"/>
  <c r="G514" i="14"/>
  <c r="H3593" i="14" a="1"/>
  <c r="G742" i="14"/>
  <c r="G1192" i="14"/>
  <c r="H1731" i="14" a="1"/>
  <c r="G130" i="14"/>
  <c r="H1911" i="14" a="1"/>
  <c r="H5073" i="14" a="1"/>
  <c r="F3769" i="14"/>
  <c r="F3943" i="14"/>
  <c r="H4724" i="14" a="1"/>
  <c r="G1012" i="14"/>
  <c r="G4725" i="14"/>
  <c r="H4115" i="14" a="1"/>
  <c r="G1102" i="14"/>
  <c r="H3245" i="14" a="1"/>
  <c r="F4987" i="14"/>
  <c r="H4289" i="14" a="1"/>
  <c r="G2182" i="14"/>
  <c r="H2091" i="14" a="1"/>
  <c r="G3768" i="14"/>
  <c r="H921" i="14" a="1"/>
  <c r="H4202" i="14" a="1"/>
  <c r="H651" i="14" a="1"/>
  <c r="F651" i="14"/>
  <c r="H3854" i="14" a="1"/>
  <c r="H1191" i="14" a="1"/>
  <c r="H831" i="14" a="1"/>
  <c r="F2564" i="14"/>
  <c r="H1101" i="14" a="1"/>
  <c r="H513" i="14" a="1"/>
  <c r="H1281" i="14" a="1"/>
  <c r="F67" i="14"/>
  <c r="H2542" i="14" a="1"/>
  <c r="H1371" i="14" a="1"/>
  <c r="H3332" i="14" a="1"/>
  <c r="G3855" i="14"/>
  <c r="G1912" i="14"/>
  <c r="G1462" i="14"/>
  <c r="H3419" i="14" a="1"/>
  <c r="F2471" i="14"/>
  <c r="H1461" i="14" a="1"/>
  <c r="G4638" i="14"/>
  <c r="G3333" i="14"/>
  <c r="G652" i="14"/>
  <c r="F4291" i="14"/>
  <c r="F582" i="14"/>
  <c r="F517" i="14"/>
  <c r="H67" i="14" a="1"/>
  <c r="F3247" i="14"/>
  <c r="H1551" i="14" a="1"/>
  <c r="G4116" i="14"/>
  <c r="G2452" i="14"/>
  <c r="G322" i="14"/>
  <c r="F133" i="14"/>
  <c r="G386" i="14"/>
  <c r="H2361" i="14" a="1"/>
  <c r="F4117" i="14"/>
  <c r="F4465" i="14"/>
  <c r="F389" i="14"/>
  <c r="G258" i="14"/>
  <c r="F715" i="14"/>
  <c r="F3682" i="14"/>
  <c r="G1372" i="14"/>
  <c r="G3246" i="14"/>
  <c r="G832" i="14"/>
  <c r="G2362" i="14"/>
  <c r="H2451" i="14" a="1"/>
  <c r="G3681" i="14"/>
  <c r="H1011" i="14" a="1"/>
  <c r="H2001" i="14" a="1"/>
  <c r="H4550" i="14" a="1"/>
  <c r="H4898" i="14" a="1"/>
  <c r="G450" i="14"/>
  <c r="G1822" i="14"/>
  <c r="G4551" i="14"/>
  <c r="G1642" i="14"/>
  <c r="G922" i="14"/>
  <c r="H4028" i="14" a="1"/>
  <c r="F4378" i="14"/>
  <c r="H4376" i="14" a="1"/>
  <c r="H4463" i="14" a="1"/>
  <c r="F5075" i="14"/>
  <c r="H4637" i="14" a="1"/>
  <c r="H129" i="14" a="1"/>
  <c r="G2092" i="14"/>
  <c r="F197" i="14"/>
  <c r="F453" i="14"/>
  <c r="H2271" i="14" a="1"/>
  <c r="H578" i="14" a="1"/>
  <c r="F4030" i="14"/>
  <c r="F3334" i="14"/>
  <c r="G1282" i="14"/>
  <c r="F3421" i="14"/>
  <c r="H1641" i="14" a="1"/>
  <c r="F261" i="14"/>
  <c r="H449" i="14" a="1"/>
  <c r="F3508" i="14"/>
  <c r="G1552" i="14"/>
  <c r="H193" i="14" a="1"/>
  <c r="G4812" i="14"/>
  <c r="H3506" i="14" a="1"/>
  <c r="G194" i="14"/>
  <c r="F4813" i="14"/>
  <c r="H3680" i="14" a="1"/>
  <c r="G4203" i="14"/>
  <c r="F4900" i="14"/>
  <c r="G4029" i="14"/>
  <c r="G2272" i="14"/>
  <c r="H3941" i="14" a="1"/>
  <c r="F3595" i="14"/>
  <c r="G4899" i="14"/>
  <c r="H741" i="14" l="1"/>
  <c r="H4463" i="14"/>
  <c r="H3332" i="14"/>
  <c r="H449" i="14"/>
  <c r="H2001" i="14"/>
  <c r="H2542" i="14"/>
  <c r="H321" i="14"/>
  <c r="H3506" i="14"/>
  <c r="H2361" i="14"/>
  <c r="H1821" i="14"/>
  <c r="H831" i="14"/>
  <c r="H257" i="14"/>
  <c r="H2181" i="14"/>
  <c r="H5073" i="14"/>
  <c r="H1281" i="14"/>
  <c r="H1461" i="14"/>
  <c r="H3419" i="14"/>
  <c r="H4898" i="14"/>
  <c r="H578" i="14"/>
  <c r="H3941" i="14"/>
  <c r="H67" i="14"/>
  <c r="H3854" i="14"/>
  <c r="H651" i="14"/>
  <c r="H3767" i="14"/>
  <c r="H4811" i="14"/>
  <c r="H1101" i="14"/>
  <c r="H4724" i="14"/>
  <c r="H193" i="14"/>
  <c r="H4985" i="14"/>
  <c r="H4289" i="14"/>
  <c r="H3245" i="14"/>
  <c r="H3680" i="14"/>
  <c r="H513" i="14"/>
  <c r="H921" i="14"/>
  <c r="H4550" i="14"/>
  <c r="H2091" i="14"/>
  <c r="H1371" i="14"/>
  <c r="H4028" i="14"/>
  <c r="H1911" i="14"/>
  <c r="H1641" i="14"/>
  <c r="H4202" i="14"/>
  <c r="H4115" i="14"/>
  <c r="H385" i="14"/>
  <c r="H4376" i="14"/>
  <c r="H1191" i="14"/>
  <c r="H1011" i="14"/>
  <c r="H2451" i="14"/>
  <c r="H129" i="14"/>
  <c r="H4637" i="14"/>
  <c r="H1731" i="14"/>
  <c r="H1551" i="14"/>
  <c r="H3593" i="14"/>
  <c r="H2271" i="14"/>
  <c r="H68" i="14"/>
  <c r="C2094" i="14"/>
  <c r="C4988" i="14"/>
  <c r="C1104" i="14"/>
  <c r="C3248" i="14"/>
  <c r="C3335" i="14"/>
  <c r="C3596" i="14"/>
  <c r="C452" i="14"/>
  <c r="B653" i="14"/>
  <c r="B717" i="14"/>
  <c r="C2544" i="14"/>
  <c r="C324" i="14"/>
  <c r="C580" i="14"/>
  <c r="B3423" i="14"/>
  <c r="C5075" i="14"/>
  <c r="C4901" i="14"/>
  <c r="C3944" i="14"/>
  <c r="B781" i="14"/>
  <c r="B455" i="14"/>
  <c r="C1284" i="14"/>
  <c r="B327" i="14"/>
  <c r="B3945" i="14"/>
  <c r="B4815" i="14"/>
  <c r="B263" i="14"/>
  <c r="C3683" i="14"/>
  <c r="B4293" i="14"/>
  <c r="B2473" i="14"/>
  <c r="C3857" i="14"/>
  <c r="B3771" i="14"/>
  <c r="C4379" i="14"/>
  <c r="B4728" i="14"/>
  <c r="C2184" i="14"/>
  <c r="B4641" i="14"/>
  <c r="B3510" i="14"/>
  <c r="B583" i="14"/>
  <c r="C3509" i="14"/>
  <c r="C4553" i="14"/>
  <c r="B4467" i="14"/>
  <c r="C2454" i="14"/>
  <c r="C3770" i="14"/>
  <c r="B4206" i="14"/>
  <c r="C260" i="14"/>
  <c r="C4292" i="14"/>
  <c r="B5076" i="14"/>
  <c r="C834" i="14"/>
  <c r="B3684" i="14"/>
  <c r="B519" i="14"/>
  <c r="C2364" i="14"/>
  <c r="B391" i="14"/>
  <c r="C1374" i="14"/>
  <c r="C1014" i="14"/>
  <c r="B4119" i="14"/>
  <c r="C4814" i="14"/>
  <c r="C1644" i="14"/>
  <c r="C4466" i="14"/>
  <c r="B4554" i="14"/>
  <c r="B4380" i="14"/>
  <c r="B2566" i="14"/>
  <c r="C3422" i="14"/>
  <c r="B4989" i="14"/>
  <c r="B3858" i="14"/>
  <c r="B4902" i="14"/>
  <c r="B3336" i="14"/>
  <c r="B3249" i="14"/>
  <c r="B4032" i="14"/>
  <c r="C2004" i="14"/>
  <c r="C1464" i="14"/>
  <c r="C4031" i="14"/>
  <c r="C196" i="14"/>
  <c r="C132" i="14"/>
  <c r="C744" i="14"/>
  <c r="C654" i="14"/>
  <c r="C2274" i="14"/>
  <c r="B3597" i="14"/>
  <c r="C516" i="14"/>
  <c r="C4727" i="14"/>
  <c r="C388" i="14"/>
  <c r="C1194" i="14"/>
  <c r="C4118" i="14"/>
  <c r="C1734" i="14"/>
  <c r="C1914" i="14"/>
  <c r="C4205" i="14"/>
  <c r="C4640" i="14"/>
  <c r="C1824" i="14"/>
  <c r="C1554" i="14"/>
  <c r="C924" i="14"/>
  <c r="H4029" i="14" a="1"/>
  <c r="F3422" i="14"/>
  <c r="F198" i="14"/>
  <c r="H2452" i="14" a="1"/>
  <c r="G3508" i="14"/>
  <c r="G743" i="14"/>
  <c r="F4988" i="14"/>
  <c r="H4464" i="14" a="1"/>
  <c r="G1283" i="14"/>
  <c r="F3857" i="14"/>
  <c r="H742" i="14" a="1"/>
  <c r="H2182" i="14" a="1"/>
  <c r="G2273" i="14"/>
  <c r="G4900" i="14"/>
  <c r="H1102" i="14" a="1"/>
  <c r="G4639" i="14"/>
  <c r="G515" i="14"/>
  <c r="F4640" i="14"/>
  <c r="F4118" i="14"/>
  <c r="G1823" i="14"/>
  <c r="H1372" i="14" a="1"/>
  <c r="G1193" i="14"/>
  <c r="H832" i="14" a="1"/>
  <c r="H652" i="14" a="1"/>
  <c r="G580" i="14"/>
  <c r="H3681" i="14" a="1"/>
  <c r="G2183" i="14"/>
  <c r="H3942" i="14" a="1"/>
  <c r="G387" i="14"/>
  <c r="G131" i="14"/>
  <c r="G3421" i="14"/>
  <c r="G923" i="14"/>
  <c r="G1013" i="14"/>
  <c r="G2453" i="14"/>
  <c r="G3856" i="14"/>
  <c r="F3248" i="14"/>
  <c r="F262" i="14"/>
  <c r="F716" i="14"/>
  <c r="F3683" i="14"/>
  <c r="H3246" i="14" a="1"/>
  <c r="H4986" i="14" a="1"/>
  <c r="H1552" i="14" a="1"/>
  <c r="H2543" i="14" a="1"/>
  <c r="F3770" i="14"/>
  <c r="G451" i="14"/>
  <c r="F518" i="14"/>
  <c r="G323" i="14"/>
  <c r="G1553" i="14"/>
  <c r="F4814" i="14"/>
  <c r="H4116" i="14" a="1"/>
  <c r="H5074" i="14" a="1"/>
  <c r="F583" i="14"/>
  <c r="H1822" i="14" a="1"/>
  <c r="H4725" i="14" a="1"/>
  <c r="H4203" i="14" a="1"/>
  <c r="G4813" i="14"/>
  <c r="H4551" i="14" a="1"/>
  <c r="F326" i="14"/>
  <c r="G3769" i="14"/>
  <c r="G3943" i="14"/>
  <c r="H1732" i="14" a="1"/>
  <c r="H2362" i="14" a="1"/>
  <c r="H579" i="14" a="1"/>
  <c r="G3247" i="14"/>
  <c r="H3594" i="14" a="1"/>
  <c r="H4899" i="14" a="1"/>
  <c r="H1192" i="14" a="1"/>
  <c r="H1012" i="14" a="1"/>
  <c r="G4465" i="14"/>
  <c r="G1733" i="14"/>
  <c r="G2544" i="14"/>
  <c r="H2092" i="14" a="1"/>
  <c r="G3682" i="14"/>
  <c r="G653" i="14"/>
  <c r="G4987" i="14"/>
  <c r="F3509" i="14"/>
  <c r="G5075" i="14"/>
  <c r="F4901" i="14"/>
  <c r="H258" i="14" a="1"/>
  <c r="H3420" i="14" a="1"/>
  <c r="F3335" i="14"/>
  <c r="G1643" i="14"/>
  <c r="G195" i="14"/>
  <c r="G3334" i="14"/>
  <c r="F2565" i="14"/>
  <c r="G4552" i="14"/>
  <c r="F2472" i="14"/>
  <c r="H4812" i="14" a="1"/>
  <c r="F390" i="14"/>
  <c r="F4553" i="14"/>
  <c r="G2363" i="14"/>
  <c r="G1373" i="14"/>
  <c r="G259" i="14"/>
  <c r="F4466" i="14"/>
  <c r="F5076" i="14"/>
  <c r="G1463" i="14"/>
  <c r="G4378" i="14"/>
  <c r="G3595" i="14"/>
  <c r="H1282" i="14" a="1"/>
  <c r="G1913" i="14"/>
  <c r="G4291" i="14"/>
  <c r="H4290" i="14" a="1"/>
  <c r="H386" i="14" a="1"/>
  <c r="H3507" i="14" a="1"/>
  <c r="H3333" i="14" a="1"/>
  <c r="H2002" i="14" a="1"/>
  <c r="H1642" i="14" a="1"/>
  <c r="F652" i="14"/>
  <c r="F454" i="14"/>
  <c r="F4031" i="14"/>
  <c r="G4726" i="14"/>
  <c r="F4205" i="14"/>
  <c r="H322" i="14" a="1"/>
  <c r="H450" i="14" a="1"/>
  <c r="H922" i="14" a="1"/>
  <c r="H2272" i="14" a="1"/>
  <c r="H3768" i="14" a="1"/>
  <c r="G1103" i="14"/>
  <c r="H4377" i="14" a="1"/>
  <c r="H1912" i="14" a="1"/>
  <c r="F4727" i="14"/>
  <c r="F3944" i="14"/>
  <c r="F4379" i="14"/>
  <c r="G4117" i="14"/>
  <c r="H3855" i="14" a="1"/>
  <c r="G833" i="14"/>
  <c r="H514" i="14" a="1"/>
  <c r="H194" i="14" a="1"/>
  <c r="H1462" i="14" a="1"/>
  <c r="G2093" i="14"/>
  <c r="G2003" i="14"/>
  <c r="G4204" i="14"/>
  <c r="F3596" i="14"/>
  <c r="H130" i="14" a="1"/>
  <c r="H4638" i="14" a="1"/>
  <c r="G4030" i="14"/>
  <c r="F4292" i="14"/>
  <c r="F781" i="14"/>
  <c r="H1102" i="14" l="1"/>
  <c r="H832" i="14"/>
  <c r="H3594" i="14"/>
  <c r="H4464" i="14"/>
  <c r="H579" i="14"/>
  <c r="H2092" i="14"/>
  <c r="H4029" i="14"/>
  <c r="H5074" i="14"/>
  <c r="H1192" i="14"/>
  <c r="H3420" i="14"/>
  <c r="H4551" i="14"/>
  <c r="H130" i="14"/>
  <c r="H4203" i="14"/>
  <c r="H2452" i="14"/>
  <c r="H1732" i="14"/>
  <c r="H1012" i="14"/>
  <c r="H194" i="14"/>
  <c r="H2182" i="14"/>
  <c r="H258" i="14"/>
  <c r="H3855" i="14"/>
  <c r="H922" i="14"/>
  <c r="H2362" i="14"/>
  <c r="H1822" i="14"/>
  <c r="H1462" i="14"/>
  <c r="H4377" i="14"/>
  <c r="H4899" i="14"/>
  <c r="H3768" i="14"/>
  <c r="H2272" i="14"/>
  <c r="H2002" i="14"/>
  <c r="H4725" i="14"/>
  <c r="H322" i="14"/>
  <c r="H1912" i="14"/>
  <c r="H1552" i="14"/>
  <c r="H514" i="14"/>
  <c r="H3246" i="14"/>
  <c r="H1642" i="14"/>
  <c r="H3942" i="14"/>
  <c r="H450" i="14"/>
  <c r="H3507" i="14"/>
  <c r="H2543" i="14"/>
  <c r="H4290" i="14"/>
  <c r="H4116" i="14"/>
  <c r="H742" i="14"/>
  <c r="H1282" i="14"/>
  <c r="H4812" i="14"/>
  <c r="H3333" i="14"/>
  <c r="H3681" i="14"/>
  <c r="H386" i="14"/>
  <c r="H652" i="14"/>
  <c r="H4986" i="14"/>
  <c r="H4638" i="14"/>
  <c r="H1372" i="14"/>
  <c r="C1375" i="14"/>
  <c r="C4989" i="14"/>
  <c r="C389" i="14"/>
  <c r="C2275" i="14"/>
  <c r="C2005" i="14"/>
  <c r="B3337" i="14"/>
  <c r="B3250" i="14"/>
  <c r="C4554" i="14"/>
  <c r="B2474" i="14"/>
  <c r="C3684" i="14"/>
  <c r="C1825" i="14"/>
  <c r="B584" i="14"/>
  <c r="C2545" i="14"/>
  <c r="B4816" i="14"/>
  <c r="B4903" i="14"/>
  <c r="B520" i="14"/>
  <c r="C3423" i="14"/>
  <c r="C745" i="14"/>
  <c r="C655" i="14"/>
  <c r="B2567" i="14"/>
  <c r="C1735" i="14"/>
  <c r="C325" i="14"/>
  <c r="C4467" i="14"/>
  <c r="B4033" i="14"/>
  <c r="B3685" i="14"/>
  <c r="B4207" i="14"/>
  <c r="C453" i="14"/>
  <c r="B5077" i="14"/>
  <c r="B328" i="14"/>
  <c r="C3510" i="14"/>
  <c r="C1105" i="14"/>
  <c r="C2185" i="14"/>
  <c r="C1915" i="14"/>
  <c r="C4815" i="14"/>
  <c r="C1555" i="14"/>
  <c r="C581" i="14"/>
  <c r="B4990" i="14"/>
  <c r="C1465" i="14"/>
  <c r="B3772" i="14"/>
  <c r="B4555" i="14"/>
  <c r="B3598" i="14"/>
  <c r="B4381" i="14"/>
  <c r="B782" i="14"/>
  <c r="C4728" i="14"/>
  <c r="C4206" i="14"/>
  <c r="C197" i="14"/>
  <c r="C133" i="14"/>
  <c r="C2095" i="14"/>
  <c r="C925" i="14"/>
  <c r="B4294" i="14"/>
  <c r="C4641" i="14"/>
  <c r="B718" i="14"/>
  <c r="B654" i="14"/>
  <c r="B4642" i="14"/>
  <c r="C2455" i="14"/>
  <c r="C3858" i="14"/>
  <c r="C3597" i="14"/>
  <c r="C3945" i="14"/>
  <c r="C5076" i="14"/>
  <c r="C1645" i="14"/>
  <c r="C2365" i="14"/>
  <c r="C4119" i="14"/>
  <c r="B3424" i="14"/>
  <c r="C4380" i="14"/>
  <c r="C835" i="14"/>
  <c r="B3511" i="14"/>
  <c r="C3336" i="14"/>
  <c r="C3249" i="14"/>
  <c r="C1015" i="14"/>
  <c r="C4293" i="14"/>
  <c r="C1285" i="14"/>
  <c r="C261" i="14"/>
  <c r="B4120" i="14"/>
  <c r="B3946" i="14"/>
  <c r="B4468" i="14"/>
  <c r="C4902" i="14"/>
  <c r="B456" i="14"/>
  <c r="B4729" i="14"/>
  <c r="B3859" i="14"/>
  <c r="C3771" i="14"/>
  <c r="B392" i="14"/>
  <c r="C4032" i="14"/>
  <c r="C517" i="14"/>
  <c r="C1195" i="14"/>
  <c r="H3682" i="14" a="1"/>
  <c r="G5076" i="14"/>
  <c r="G2184" i="14"/>
  <c r="H3421" i="14" a="1"/>
  <c r="G1374" i="14"/>
  <c r="H3769" i="14" a="1"/>
  <c r="F3336" i="14"/>
  <c r="H1463" i="14" a="1"/>
  <c r="H653" i="14" a="1"/>
  <c r="G196" i="14"/>
  <c r="G3683" i="14"/>
  <c r="H580" i="14" a="1"/>
  <c r="G2004" i="14"/>
  <c r="H1103" i="14" a="1"/>
  <c r="F5077" i="14"/>
  <c r="H5075" i="14" a="1"/>
  <c r="G3770" i="14"/>
  <c r="G132" i="14"/>
  <c r="H4030" i="14" a="1"/>
  <c r="F391" i="14"/>
  <c r="G4031" i="14"/>
  <c r="H3856" i="14" a="1"/>
  <c r="F4293" i="14"/>
  <c r="H515" i="14" a="1"/>
  <c r="F2473" i="14"/>
  <c r="H4378" i="14" a="1"/>
  <c r="H4900" i="14" a="1"/>
  <c r="F455" i="14"/>
  <c r="F3597" i="14"/>
  <c r="H4639" i="14" a="1"/>
  <c r="G4205" i="14"/>
  <c r="H743" i="14" a="1"/>
  <c r="F4641" i="14"/>
  <c r="F3945" i="14"/>
  <c r="F4902" i="14"/>
  <c r="H4987" i="14" a="1"/>
  <c r="G516" i="14"/>
  <c r="F3423" i="14"/>
  <c r="G581" i="14"/>
  <c r="G2545" i="14"/>
  <c r="F653" i="14"/>
  <c r="G4118" i="14"/>
  <c r="G3509" i="14"/>
  <c r="H1373" i="14" a="1"/>
  <c r="F3858" i="14"/>
  <c r="G4379" i="14"/>
  <c r="H3595" i="14" a="1"/>
  <c r="G3248" i="14"/>
  <c r="H4204" i="14" a="1"/>
  <c r="G2454" i="14"/>
  <c r="G1914" i="14"/>
  <c r="G452" i="14"/>
  <c r="H4813" i="14" a="1"/>
  <c r="G4988" i="14"/>
  <c r="H2544" i="14" a="1"/>
  <c r="G4727" i="14"/>
  <c r="H4117" i="14" a="1"/>
  <c r="G2364" i="14"/>
  <c r="H2453" i="14" a="1"/>
  <c r="F4728" i="14"/>
  <c r="H2363" i="14" a="1"/>
  <c r="G1464" i="14"/>
  <c r="G4292" i="14"/>
  <c r="G1734" i="14"/>
  <c r="F3771" i="14"/>
  <c r="H451" i="14" a="1"/>
  <c r="H2093" i="14" a="1"/>
  <c r="F717" i="14"/>
  <c r="G1554" i="14"/>
  <c r="H3943" i="14" a="1"/>
  <c r="G1644" i="14"/>
  <c r="H1013" i="14" a="1"/>
  <c r="G324" i="14"/>
  <c r="H3508" i="14" a="1"/>
  <c r="G4466" i="14"/>
  <c r="H1733" i="14" a="1"/>
  <c r="F519" i="14"/>
  <c r="H833" i="14" a="1"/>
  <c r="G3857" i="14"/>
  <c r="G1824" i="14"/>
  <c r="G744" i="14"/>
  <c r="F4380" i="14"/>
  <c r="H4465" i="14" a="1"/>
  <c r="H4552" i="14" a="1"/>
  <c r="G2094" i="14"/>
  <c r="F4206" i="14"/>
  <c r="H3334" i="14" a="1"/>
  <c r="G3422" i="14"/>
  <c r="H2273" i="14" a="1"/>
  <c r="F4467" i="14"/>
  <c r="H1823" i="14" a="1"/>
  <c r="G4640" i="14"/>
  <c r="H131" i="14" a="1"/>
  <c r="G834" i="14"/>
  <c r="H1283" i="14" a="1"/>
  <c r="F782" i="14"/>
  <c r="H1193" i="14" a="1"/>
  <c r="G4901" i="14"/>
  <c r="G1014" i="14"/>
  <c r="F4815" i="14"/>
  <c r="H923" i="14" a="1"/>
  <c r="G260" i="14"/>
  <c r="F327" i="14"/>
  <c r="H3247" i="14" a="1"/>
  <c r="F4032" i="14"/>
  <c r="H259" i="14" a="1"/>
  <c r="G3596" i="14"/>
  <c r="H2183" i="14" a="1"/>
  <c r="G4553" i="14"/>
  <c r="H323" i="14" a="1"/>
  <c r="G4814" i="14"/>
  <c r="F3249" i="14"/>
  <c r="G3335" i="14"/>
  <c r="H1913" i="14" a="1"/>
  <c r="F2566" i="14"/>
  <c r="F3684" i="14"/>
  <c r="G924" i="14"/>
  <c r="H1643" i="14" a="1"/>
  <c r="F584" i="14"/>
  <c r="F4554" i="14"/>
  <c r="F4989" i="14"/>
  <c r="G1284" i="14"/>
  <c r="H1553" i="14" a="1"/>
  <c r="F263" i="14"/>
  <c r="H387" i="14" a="1"/>
  <c r="F3510" i="14"/>
  <c r="H195" i="14" a="1"/>
  <c r="G1104" i="14"/>
  <c r="G2274" i="14"/>
  <c r="G1194" i="14"/>
  <c r="H4726" i="14" a="1"/>
  <c r="F4119" i="14"/>
  <c r="H2003" i="14" a="1"/>
  <c r="G388" i="14"/>
  <c r="H4291" i="14" a="1"/>
  <c r="G3944" i="14"/>
  <c r="G654" i="14"/>
  <c r="H4378" i="14" l="1"/>
  <c r="H515" i="14"/>
  <c r="H3856" i="14"/>
  <c r="H3247" i="14"/>
  <c r="H5075" i="14"/>
  <c r="H4465" i="14"/>
  <c r="H3595" i="14"/>
  <c r="H1283" i="14"/>
  <c r="H1463" i="14"/>
  <c r="H3769" i="14"/>
  <c r="H3421" i="14"/>
  <c r="H3334" i="14"/>
  <c r="H4291" i="14"/>
  <c r="H451" i="14"/>
  <c r="H4639" i="14"/>
  <c r="H833" i="14"/>
  <c r="H195" i="14"/>
  <c r="H387" i="14"/>
  <c r="H1553" i="14"/>
  <c r="H3943" i="14"/>
  <c r="H1643" i="14"/>
  <c r="H4204" i="14"/>
  <c r="H580" i="14"/>
  <c r="H2363" i="14"/>
  <c r="H323" i="14"/>
  <c r="H2183" i="14"/>
  <c r="H259" i="14"/>
  <c r="H4813" i="14"/>
  <c r="H923" i="14"/>
  <c r="H743" i="14"/>
  <c r="H4726" i="14"/>
  <c r="H1373" i="14"/>
  <c r="H131" i="14"/>
  <c r="H1823" i="14"/>
  <c r="H2273" i="14"/>
  <c r="H4987" i="14"/>
  <c r="H4552" i="14"/>
  <c r="H1103" i="14"/>
  <c r="H1913" i="14"/>
  <c r="H4900" i="14"/>
  <c r="H1733" i="14"/>
  <c r="H3508" i="14"/>
  <c r="H1013" i="14"/>
  <c r="H4030" i="14"/>
  <c r="H2093" i="14"/>
  <c r="H2003" i="14"/>
  <c r="H1193" i="14"/>
  <c r="H653" i="14"/>
  <c r="H2453" i="14"/>
  <c r="H4117" i="14"/>
  <c r="H2544" i="14"/>
  <c r="H3682" i="14"/>
  <c r="C1916" i="14"/>
  <c r="B3338" i="14"/>
  <c r="B3251" i="14"/>
  <c r="C4468" i="14"/>
  <c r="B3425" i="14"/>
  <c r="C5077" i="14"/>
  <c r="C4990" i="14"/>
  <c r="C326" i="14"/>
  <c r="C3337" i="14"/>
  <c r="C3250" i="14"/>
  <c r="B4295" i="14"/>
  <c r="C1376" i="14"/>
  <c r="C2546" i="14"/>
  <c r="C1556" i="14"/>
  <c r="C582" i="14"/>
  <c r="B4556" i="14"/>
  <c r="C4033" i="14"/>
  <c r="C4294" i="14"/>
  <c r="B3686" i="14"/>
  <c r="B393" i="14"/>
  <c r="C1826" i="14"/>
  <c r="B783" i="14"/>
  <c r="B4991" i="14"/>
  <c r="C1286" i="14"/>
  <c r="C1196" i="14"/>
  <c r="C518" i="14"/>
  <c r="C4555" i="14"/>
  <c r="C3598" i="14"/>
  <c r="C836" i="14"/>
  <c r="C2096" i="14"/>
  <c r="B3947" i="14"/>
  <c r="C3424" i="14"/>
  <c r="B4382" i="14"/>
  <c r="C3511" i="14"/>
  <c r="B4034" i="14"/>
  <c r="B3599" i="14"/>
  <c r="C4207" i="14"/>
  <c r="B4730" i="14"/>
  <c r="C1016" i="14"/>
  <c r="B5078" i="14"/>
  <c r="C2006" i="14"/>
  <c r="B3773" i="14"/>
  <c r="B585" i="14"/>
  <c r="C4642" i="14"/>
  <c r="C2366" i="14"/>
  <c r="C746" i="14"/>
  <c r="C656" i="14"/>
  <c r="C1646" i="14"/>
  <c r="C3859" i="14"/>
  <c r="C4729" i="14"/>
  <c r="C198" i="14"/>
  <c r="C3772" i="14"/>
  <c r="B3512" i="14"/>
  <c r="B4469" i="14"/>
  <c r="C390" i="14"/>
  <c r="B2475" i="14"/>
  <c r="C1466" i="14"/>
  <c r="C4120" i="14"/>
  <c r="B4817" i="14"/>
  <c r="C4381" i="14"/>
  <c r="C926" i="14"/>
  <c r="C2456" i="14"/>
  <c r="C3685" i="14"/>
  <c r="B719" i="14"/>
  <c r="B655" i="14"/>
  <c r="B4121" i="14"/>
  <c r="C1106" i="14"/>
  <c r="C1736" i="14"/>
  <c r="C3946" i="14"/>
  <c r="B3860" i="14"/>
  <c r="B4904" i="14"/>
  <c r="C262" i="14"/>
  <c r="C4903" i="14"/>
  <c r="B457" i="14"/>
  <c r="B521" i="14"/>
  <c r="B4208" i="14"/>
  <c r="C2186" i="14"/>
  <c r="C4816" i="14"/>
  <c r="B4643" i="14"/>
  <c r="C2276" i="14"/>
  <c r="B2568" i="14"/>
  <c r="C454" i="14"/>
  <c r="H1914" i="14" a="1"/>
  <c r="H1734" i="14" a="1"/>
  <c r="G4206" i="14"/>
  <c r="H452" i="14" a="1"/>
  <c r="G2455" i="14"/>
  <c r="H3770" i="14" a="1"/>
  <c r="F328" i="14"/>
  <c r="G655" i="14"/>
  <c r="H1104" i="14" a="1"/>
  <c r="F4729" i="14"/>
  <c r="F3250" i="14"/>
  <c r="F2567" i="14"/>
  <c r="H4466" i="14" a="1"/>
  <c r="F783" i="14"/>
  <c r="G4467" i="14"/>
  <c r="G4380" i="14"/>
  <c r="F4207" i="14"/>
  <c r="H516" i="14" a="1"/>
  <c r="G1555" i="14"/>
  <c r="G1735" i="14"/>
  <c r="H4640" i="14" a="1"/>
  <c r="F585" i="14"/>
  <c r="H1464" i="14" a="1"/>
  <c r="G5077" i="14"/>
  <c r="H4988" i="14" a="1"/>
  <c r="G1195" i="14"/>
  <c r="H4379" i="14" a="1"/>
  <c r="G3336" i="14"/>
  <c r="H654" i="14" a="1"/>
  <c r="H132" i="14" a="1"/>
  <c r="G925" i="14"/>
  <c r="G4641" i="14"/>
  <c r="F3859" i="14"/>
  <c r="F4816" i="14"/>
  <c r="H3683" i="14" a="1"/>
  <c r="G1015" i="14"/>
  <c r="H2004" i="14" a="1"/>
  <c r="F3685" i="14"/>
  <c r="G3684" i="14"/>
  <c r="H5076" i="14" a="1"/>
  <c r="F4468" i="14"/>
  <c r="G1465" i="14"/>
  <c r="F4555" i="14"/>
  <c r="H4205" i="14" a="1"/>
  <c r="G2095" i="14"/>
  <c r="H3509" i="14" a="1"/>
  <c r="H4292" i="14" a="1"/>
  <c r="F4294" i="14"/>
  <c r="F2474" i="14"/>
  <c r="F520" i="14"/>
  <c r="F4120" i="14"/>
  <c r="H744" i="14" a="1"/>
  <c r="F456" i="14"/>
  <c r="G745" i="14"/>
  <c r="G1915" i="14"/>
  <c r="F3511" i="14"/>
  <c r="H1284" i="14" a="1"/>
  <c r="G3858" i="14"/>
  <c r="H2274" i="14" a="1"/>
  <c r="G3510" i="14"/>
  <c r="H834" i="14" a="1"/>
  <c r="G325" i="14"/>
  <c r="H4553" i="14" a="1"/>
  <c r="H388" i="14" a="1"/>
  <c r="F4642" i="14"/>
  <c r="F4381" i="14"/>
  <c r="G4902" i="14"/>
  <c r="F4903" i="14"/>
  <c r="F654" i="14"/>
  <c r="H3248" i="14" a="1"/>
  <c r="F718" i="14"/>
  <c r="G389" i="14"/>
  <c r="F4033" i="14"/>
  <c r="H260" i="14" a="1"/>
  <c r="G453" i="14"/>
  <c r="H2184" i="14" a="1"/>
  <c r="G4815" i="14"/>
  <c r="H924" i="14" a="1"/>
  <c r="G1105" i="14"/>
  <c r="H1374" i="14" a="1"/>
  <c r="H581" i="14" a="1"/>
  <c r="G133" i="14"/>
  <c r="G2185" i="14"/>
  <c r="G835" i="14"/>
  <c r="G517" i="14"/>
  <c r="G4554" i="14"/>
  <c r="G1285" i="14"/>
  <c r="H4814" i="14" a="1"/>
  <c r="G2365" i="14"/>
  <c r="H2094" i="14" a="1"/>
  <c r="H3857" i="14" a="1"/>
  <c r="G2546" i="14"/>
  <c r="H4031" i="14" a="1"/>
  <c r="G582" i="14"/>
  <c r="H4118" i="14" a="1"/>
  <c r="F392" i="14"/>
  <c r="H4901" i="14" a="1"/>
  <c r="G4293" i="14"/>
  <c r="F3772" i="14"/>
  <c r="F3598" i="14"/>
  <c r="G2275" i="14"/>
  <c r="F3946" i="14"/>
  <c r="H3944" i="14" a="1"/>
  <c r="G4119" i="14"/>
  <c r="G261" i="14"/>
  <c r="H3422" i="14" a="1"/>
  <c r="G3249" i="14"/>
  <c r="H4727" i="14" a="1"/>
  <c r="H2454" i="14" a="1"/>
  <c r="F3424" i="14"/>
  <c r="H3596" i="14" a="1"/>
  <c r="G3945" i="14"/>
  <c r="H196" i="14" a="1"/>
  <c r="G4989" i="14"/>
  <c r="H2545" i="14" a="1"/>
  <c r="G1645" i="14"/>
  <c r="G2005" i="14"/>
  <c r="H1554" i="14" a="1"/>
  <c r="G197" i="14"/>
  <c r="H2364" i="14" a="1"/>
  <c r="G4728" i="14"/>
  <c r="F3337" i="14"/>
  <c r="H324" i="14" a="1"/>
  <c r="G1825" i="14"/>
  <c r="H1194" i="14" a="1"/>
  <c r="H1644" i="14" a="1"/>
  <c r="G3423" i="14"/>
  <c r="H1014" i="14" a="1"/>
  <c r="G1375" i="14"/>
  <c r="F5078" i="14"/>
  <c r="G4032" i="14"/>
  <c r="H1824" i="14" a="1"/>
  <c r="F4990" i="14"/>
  <c r="H3335" i="14" a="1"/>
  <c r="G3771" i="14"/>
  <c r="G3597" i="14"/>
  <c r="H1734" i="14" l="1"/>
  <c r="H3335" i="14"/>
  <c r="H581" i="14"/>
  <c r="H2004" i="14"/>
  <c r="H196" i="14"/>
  <c r="H1104" i="14"/>
  <c r="H1644" i="14"/>
  <c r="H3248" i="14"/>
  <c r="H1554" i="14"/>
  <c r="H744" i="14"/>
  <c r="H388" i="14"/>
  <c r="H4988" i="14"/>
  <c r="H4118" i="14"/>
  <c r="H1014" i="14"/>
  <c r="H2454" i="14"/>
  <c r="H1464" i="14"/>
  <c r="H4640" i="14"/>
  <c r="H3683" i="14"/>
  <c r="H4292" i="14"/>
  <c r="H4901" i="14"/>
  <c r="H924" i="14"/>
  <c r="H3596" i="14"/>
  <c r="H3857" i="14"/>
  <c r="H3770" i="14"/>
  <c r="H452" i="14"/>
  <c r="H516" i="14"/>
  <c r="H132" i="14"/>
  <c r="H1374" i="14"/>
  <c r="H834" i="14"/>
  <c r="H4031" i="14"/>
  <c r="H260" i="14"/>
  <c r="H1194" i="14"/>
  <c r="H324" i="14"/>
  <c r="H1914" i="14"/>
  <c r="H4466" i="14"/>
  <c r="H4553" i="14"/>
  <c r="H4205" i="14"/>
  <c r="H2184" i="14"/>
  <c r="H1284" i="14"/>
  <c r="H4727" i="14"/>
  <c r="H3422" i="14"/>
  <c r="H2364" i="14"/>
  <c r="H1824" i="14"/>
  <c r="H3509" i="14"/>
  <c r="H4379" i="14"/>
  <c r="H2274" i="14"/>
  <c r="H5076" i="14"/>
  <c r="H2094" i="14"/>
  <c r="H4814" i="14"/>
  <c r="H3944" i="14"/>
  <c r="H2545" i="14"/>
  <c r="H654" i="14"/>
  <c r="B784" i="14"/>
  <c r="B4122" i="14"/>
  <c r="B4296" i="14"/>
  <c r="B4035" i="14"/>
  <c r="B4383" i="14"/>
  <c r="B586" i="14"/>
  <c r="C3773" i="14"/>
  <c r="C1647" i="14"/>
  <c r="C583" i="14"/>
  <c r="B522" i="14"/>
  <c r="C2547" i="14"/>
  <c r="B4557" i="14"/>
  <c r="C4817" i="14"/>
  <c r="C2457" i="14"/>
  <c r="C2097" i="14"/>
  <c r="C4295" i="14"/>
  <c r="B4470" i="14"/>
  <c r="C927" i="14"/>
  <c r="C1287" i="14"/>
  <c r="C4121" i="14"/>
  <c r="C3425" i="14"/>
  <c r="B3513" i="14"/>
  <c r="C4469" i="14"/>
  <c r="C3860" i="14"/>
  <c r="B5079" i="14"/>
  <c r="C4643" i="14"/>
  <c r="C837" i="14"/>
  <c r="B4818" i="14"/>
  <c r="C519" i="14"/>
  <c r="C4904" i="14"/>
  <c r="B3948" i="14"/>
  <c r="B4209" i="14"/>
  <c r="C1017" i="14"/>
  <c r="C3947" i="14"/>
  <c r="C1917" i="14"/>
  <c r="C2367" i="14"/>
  <c r="C327" i="14"/>
  <c r="C1107" i="14"/>
  <c r="B4992" i="14"/>
  <c r="C263" i="14"/>
  <c r="C2007" i="14"/>
  <c r="B720" i="14"/>
  <c r="B656" i="14"/>
  <c r="C1557" i="14"/>
  <c r="B3600" i="14"/>
  <c r="C1377" i="14"/>
  <c r="B458" i="14"/>
  <c r="C391" i="14"/>
  <c r="C4556" i="14"/>
  <c r="C1827" i="14"/>
  <c r="B3774" i="14"/>
  <c r="C5078" i="14"/>
  <c r="B3426" i="14"/>
  <c r="B4905" i="14"/>
  <c r="C747" i="14"/>
  <c r="C657" i="14"/>
  <c r="C1197" i="14"/>
  <c r="C455" i="14"/>
  <c r="B3861" i="14"/>
  <c r="C3599" i="14"/>
  <c r="B4731" i="14"/>
  <c r="C4208" i="14"/>
  <c r="C2187" i="14"/>
  <c r="C4382" i="14"/>
  <c r="C3338" i="14"/>
  <c r="C3251" i="14"/>
  <c r="B2569" i="14"/>
  <c r="C2277" i="14"/>
  <c r="C4991" i="14"/>
  <c r="C4034" i="14"/>
  <c r="B2476" i="14"/>
  <c r="C1737" i="14"/>
  <c r="C4730" i="14"/>
  <c r="B3687" i="14"/>
  <c r="C3512" i="14"/>
  <c r="C3686" i="14"/>
  <c r="B4644" i="14"/>
  <c r="C1467" i="14"/>
  <c r="B3252" i="14"/>
  <c r="B3339" i="14"/>
  <c r="H2365" i="14" a="1"/>
  <c r="F4991" i="14"/>
  <c r="G4729" i="14"/>
  <c r="H4815" i="14" a="1"/>
  <c r="G2276" i="14"/>
  <c r="H4641" i="14" a="1"/>
  <c r="F4034" i="14"/>
  <c r="H3771" i="14" a="1"/>
  <c r="G4294" i="14"/>
  <c r="H1465" i="14" a="1"/>
  <c r="H2185" i="14" a="1"/>
  <c r="H517" i="14" a="1"/>
  <c r="G4033" i="14"/>
  <c r="G1556" i="14"/>
  <c r="H1555" i="14" a="1"/>
  <c r="G3772" i="14"/>
  <c r="G518" i="14"/>
  <c r="F4121" i="14"/>
  <c r="H1915" i="14" a="1"/>
  <c r="H261" i="14" a="1"/>
  <c r="H1735" i="14" a="1"/>
  <c r="H4989" i="14" a="1"/>
  <c r="F521" i="14"/>
  <c r="G2096" i="14"/>
  <c r="G3859" i="14"/>
  <c r="G1376" i="14"/>
  <c r="G2006" i="14"/>
  <c r="H2095" i="14" a="1"/>
  <c r="H1015" i="14" a="1"/>
  <c r="F4556" i="14"/>
  <c r="G1196" i="14"/>
  <c r="H1645" i="14" a="1"/>
  <c r="H4032" i="14" a="1"/>
  <c r="G4555" i="14"/>
  <c r="F655" i="14"/>
  <c r="F3512" i="14"/>
  <c r="G746" i="14"/>
  <c r="H1195" i="14" a="1"/>
  <c r="F3947" i="14"/>
  <c r="F784" i="14"/>
  <c r="H1375" i="14" a="1"/>
  <c r="H3336" i="14" a="1"/>
  <c r="G1466" i="14"/>
  <c r="G5078" i="14"/>
  <c r="F3686" i="14"/>
  <c r="G4120" i="14"/>
  <c r="G1826" i="14"/>
  <c r="G1916" i="14"/>
  <c r="G4816" i="14"/>
  <c r="H1285" i="14" a="1"/>
  <c r="H4554" i="14" a="1"/>
  <c r="G454" i="14"/>
  <c r="G4207" i="14"/>
  <c r="F2568" i="14"/>
  <c r="F4208" i="14"/>
  <c r="F5079" i="14"/>
  <c r="H389" i="14" a="1"/>
  <c r="G4903" i="14"/>
  <c r="H3249" i="14" a="1"/>
  <c r="H4467" i="14" a="1"/>
  <c r="F4469" i="14"/>
  <c r="H2275" i="14" a="1"/>
  <c r="H453" i="14" a="1"/>
  <c r="H1105" i="14" a="1"/>
  <c r="H5077" i="14" a="1"/>
  <c r="H197" i="14" a="1"/>
  <c r="H4380" i="14" a="1"/>
  <c r="F586" i="14"/>
  <c r="H655" i="14" a="1"/>
  <c r="G1736" i="14"/>
  <c r="G198" i="14"/>
  <c r="H2455" i="14" a="1"/>
  <c r="F3773" i="14"/>
  <c r="H4902" i="14" a="1"/>
  <c r="G326" i="14"/>
  <c r="H3684" i="14" a="1"/>
  <c r="G1286" i="14"/>
  <c r="H4293" i="14" a="1"/>
  <c r="F4904" i="14"/>
  <c r="G656" i="14"/>
  <c r="G3946" i="14"/>
  <c r="F457" i="14"/>
  <c r="G1646" i="14"/>
  <c r="G583" i="14"/>
  <c r="F4382" i="14"/>
  <c r="G2547" i="14"/>
  <c r="G2456" i="14"/>
  <c r="G926" i="14"/>
  <c r="F3599" i="14"/>
  <c r="G4990" i="14"/>
  <c r="H133" i="14" a="1"/>
  <c r="G1016" i="14"/>
  <c r="H745" i="14" a="1"/>
  <c r="F4295" i="14"/>
  <c r="G3337" i="14"/>
  <c r="G2366" i="14"/>
  <c r="G836" i="14"/>
  <c r="F719" i="14"/>
  <c r="H835" i="14" a="1"/>
  <c r="H325" i="14" a="1"/>
  <c r="G4381" i="14"/>
  <c r="H3858" i="14" a="1"/>
  <c r="F4730" i="14"/>
  <c r="F4643" i="14"/>
  <c r="F4817" i="14"/>
  <c r="F393" i="14"/>
  <c r="H3597" i="14" a="1"/>
  <c r="H3423" i="14" a="1"/>
  <c r="G3250" i="14"/>
  <c r="H1825" i="14" a="1"/>
  <c r="H4728" i="14" a="1"/>
  <c r="F3425" i="14"/>
  <c r="G1106" i="14"/>
  <c r="F3338" i="14"/>
  <c r="H925" i="14" a="1"/>
  <c r="H3510" i="14" a="1"/>
  <c r="G2186" i="14"/>
  <c r="H2005" i="14" a="1"/>
  <c r="H3945" i="14" a="1"/>
  <c r="H4206" i="14" a="1"/>
  <c r="F3251" i="14"/>
  <c r="G390" i="14"/>
  <c r="H2546" i="14" a="1"/>
  <c r="G3598" i="14"/>
  <c r="G4642" i="14"/>
  <c r="H4119" i="14" a="1"/>
  <c r="G3424" i="14"/>
  <c r="G4468" i="14"/>
  <c r="G3511" i="14"/>
  <c r="G3685" i="14"/>
  <c r="H582" i="14" a="1"/>
  <c r="G262" i="14"/>
  <c r="F3860" i="14"/>
  <c r="F2475" i="14"/>
  <c r="H4467" i="14" l="1"/>
  <c r="H1555" i="14"/>
  <c r="H517" i="14"/>
  <c r="H133" i="14"/>
  <c r="H1195" i="14"/>
  <c r="H2095" i="14"/>
  <c r="H1915" i="14"/>
  <c r="H655" i="14"/>
  <c r="H3510" i="14"/>
  <c r="H4380" i="14"/>
  <c r="H197" i="14"/>
  <c r="H4293" i="14"/>
  <c r="H1015" i="14"/>
  <c r="H261" i="14"/>
  <c r="H2455" i="14"/>
  <c r="H2365" i="14"/>
  <c r="H4554" i="14"/>
  <c r="H3249" i="14"/>
  <c r="H2546" i="14"/>
  <c r="H1465" i="14"/>
  <c r="H1735" i="14"/>
  <c r="H4902" i="14"/>
  <c r="H4815" i="14"/>
  <c r="H4119" i="14"/>
  <c r="H3423" i="14"/>
  <c r="H1285" i="14"/>
  <c r="H925" i="14"/>
  <c r="H2185" i="14"/>
  <c r="H3684" i="14"/>
  <c r="H4641" i="14"/>
  <c r="H2275" i="14"/>
  <c r="H2005" i="14"/>
  <c r="H3336" i="14"/>
  <c r="H1375" i="14"/>
  <c r="H3597" i="14"/>
  <c r="H5077" i="14"/>
  <c r="H3771" i="14"/>
  <c r="H453" i="14"/>
  <c r="H3945" i="14"/>
  <c r="H1825" i="14"/>
  <c r="H4032" i="14"/>
  <c r="H1645" i="14"/>
  <c r="H835" i="14"/>
  <c r="H582" i="14"/>
  <c r="H1105" i="14"/>
  <c r="H4206" i="14"/>
  <c r="H4728" i="14"/>
  <c r="H3858" i="14"/>
  <c r="H325" i="14"/>
  <c r="H745" i="14"/>
  <c r="H4989" i="14"/>
  <c r="H389" i="14"/>
  <c r="C4035" i="14"/>
  <c r="B2477" i="14"/>
  <c r="B4993" i="14"/>
  <c r="C4122" i="14"/>
  <c r="C1558" i="14"/>
  <c r="B3775" i="14"/>
  <c r="C3339" i="14"/>
  <c r="C3252" i="14"/>
  <c r="C1288" i="14"/>
  <c r="C4644" i="14"/>
  <c r="B3688" i="14"/>
  <c r="C4383" i="14"/>
  <c r="B4645" i="14"/>
  <c r="C1738" i="14"/>
  <c r="C3774" i="14"/>
  <c r="C1828" i="14"/>
  <c r="C2278" i="14"/>
  <c r="C1198" i="14"/>
  <c r="B587" i="14"/>
  <c r="B4210" i="14"/>
  <c r="B2570" i="14"/>
  <c r="B785" i="14"/>
  <c r="B3601" i="14"/>
  <c r="C4296" i="14"/>
  <c r="C4905" i="14"/>
  <c r="B4732" i="14"/>
  <c r="C3426" i="14"/>
  <c r="B4819" i="14"/>
  <c r="C1648" i="14"/>
  <c r="C328" i="14"/>
  <c r="C2458" i="14"/>
  <c r="B4297" i="14"/>
  <c r="B4906" i="14"/>
  <c r="C3948" i="14"/>
  <c r="C4209" i="14"/>
  <c r="B4123" i="14"/>
  <c r="C838" i="14"/>
  <c r="B3340" i="14"/>
  <c r="B3253" i="14"/>
  <c r="B3949" i="14"/>
  <c r="C4992" i="14"/>
  <c r="C1918" i="14"/>
  <c r="B4471" i="14"/>
  <c r="C520" i="14"/>
  <c r="B3514" i="14"/>
  <c r="C392" i="14"/>
  <c r="C4818" i="14"/>
  <c r="C5079" i="14"/>
  <c r="C658" i="14"/>
  <c r="C748" i="14"/>
  <c r="C456" i="14"/>
  <c r="B5080" i="14"/>
  <c r="C2008" i="14"/>
  <c r="C928" i="14"/>
  <c r="C2188" i="14"/>
  <c r="B3427" i="14"/>
  <c r="C4731" i="14"/>
  <c r="C1018" i="14"/>
  <c r="C2548" i="14"/>
  <c r="C3600" i="14"/>
  <c r="C1468" i="14"/>
  <c r="C2098" i="14"/>
  <c r="B4558" i="14"/>
  <c r="C1108" i="14"/>
  <c r="C584" i="14"/>
  <c r="C3513" i="14"/>
  <c r="C2368" i="14"/>
  <c r="C4470" i="14"/>
  <c r="C3687" i="14"/>
  <c r="B3862" i="14"/>
  <c r="B523" i="14"/>
  <c r="B721" i="14"/>
  <c r="B657" i="14"/>
  <c r="B4036" i="14"/>
  <c r="C4557" i="14"/>
  <c r="C1378" i="14"/>
  <c r="C3861" i="14"/>
  <c r="B4384" i="14"/>
  <c r="G3425" i="14"/>
  <c r="F785" i="14"/>
  <c r="H4903" i="14" a="1"/>
  <c r="G3338" i="14"/>
  <c r="H583" i="14" a="1"/>
  <c r="F4209" i="14"/>
  <c r="H746" i="14" a="1"/>
  <c r="G837" i="14"/>
  <c r="F4644" i="14"/>
  <c r="G1107" i="14"/>
  <c r="H1826" i="14" a="1"/>
  <c r="G657" i="14"/>
  <c r="G1017" i="14"/>
  <c r="G1197" i="14"/>
  <c r="F4992" i="14"/>
  <c r="G1827" i="14"/>
  <c r="H4990" i="14" a="1"/>
  <c r="G4556" i="14"/>
  <c r="H2547" i="14" a="1"/>
  <c r="H3685" i="14" a="1"/>
  <c r="G2187" i="14"/>
  <c r="G3599" i="14"/>
  <c r="H2456" i="14" a="1"/>
  <c r="H1466" i="14" a="1"/>
  <c r="H656" i="14" a="1"/>
  <c r="F458" i="14"/>
  <c r="H3337" i="14" a="1"/>
  <c r="F3774" i="14"/>
  <c r="G263" i="14"/>
  <c r="G1647" i="14"/>
  <c r="F3513" i="14"/>
  <c r="F3252" i="14"/>
  <c r="G2457" i="14"/>
  <c r="G4208" i="14"/>
  <c r="H3859" i="14" a="1"/>
  <c r="H3511" i="14" a="1"/>
  <c r="H1646" i="14" a="1"/>
  <c r="G4121" i="14"/>
  <c r="F4557" i="14"/>
  <c r="H1286" i="14" a="1"/>
  <c r="G1467" i="14"/>
  <c r="G4904" i="14"/>
  <c r="H4642" i="14" a="1"/>
  <c r="H4468" i="14" a="1"/>
  <c r="G4730" i="14"/>
  <c r="G2367" i="14"/>
  <c r="H326" i="14" a="1"/>
  <c r="H518" i="14" a="1"/>
  <c r="G2007" i="14"/>
  <c r="F522" i="14"/>
  <c r="H262" i="14" a="1"/>
  <c r="G1377" i="14"/>
  <c r="F4470" i="14"/>
  <c r="G391" i="14"/>
  <c r="H390" i="14" a="1"/>
  <c r="H2186" i="14" a="1"/>
  <c r="F3600" i="14"/>
  <c r="H4729" i="14" a="1"/>
  <c r="H2276" i="14" a="1"/>
  <c r="G327" i="14"/>
  <c r="H1736" i="14" a="1"/>
  <c r="F4383" i="14"/>
  <c r="G3773" i="14"/>
  <c r="H4816" i="14" a="1"/>
  <c r="F4296" i="14"/>
  <c r="G519" i="14"/>
  <c r="G927" i="14"/>
  <c r="G5079" i="14"/>
  <c r="H1376" i="14" a="1"/>
  <c r="H4294" i="14" a="1"/>
  <c r="F2569" i="14"/>
  <c r="H4033" i="14" a="1"/>
  <c r="G4034" i="14"/>
  <c r="F3426" i="14"/>
  <c r="G1557" i="14"/>
  <c r="H3772" i="14" a="1"/>
  <c r="G4817" i="14"/>
  <c r="H3424" i="14" a="1"/>
  <c r="G1737" i="14"/>
  <c r="G455" i="14"/>
  <c r="G4382" i="14"/>
  <c r="G747" i="14"/>
  <c r="G3860" i="14"/>
  <c r="H1196" i="14" a="1"/>
  <c r="G2277" i="14"/>
  <c r="F3948" i="14"/>
  <c r="G4991" i="14"/>
  <c r="F2476" i="14"/>
  <c r="G1917" i="14"/>
  <c r="F4122" i="14"/>
  <c r="G1287" i="14"/>
  <c r="H454" i="14" a="1"/>
  <c r="H3250" i="14" a="1"/>
  <c r="H2006" i="14" a="1"/>
  <c r="G2548" i="14"/>
  <c r="G4469" i="14"/>
  <c r="H2096" i="14" a="1"/>
  <c r="G3947" i="14"/>
  <c r="H926" i="14" a="1"/>
  <c r="G3251" i="14"/>
  <c r="H5078" i="14" a="1"/>
  <c r="F3687" i="14"/>
  <c r="F5080" i="14"/>
  <c r="H3598" i="14" a="1"/>
  <c r="H1916" i="14" a="1"/>
  <c r="F4818" i="14"/>
  <c r="G2097" i="14"/>
  <c r="H3946" i="14" a="1"/>
  <c r="G4643" i="14"/>
  <c r="H4381" i="14" a="1"/>
  <c r="G584" i="14"/>
  <c r="H4120" i="14" a="1"/>
  <c r="F3339" i="14"/>
  <c r="H1556" i="14" a="1"/>
  <c r="G3686" i="14"/>
  <c r="H4555" i="14" a="1"/>
  <c r="F4731" i="14"/>
  <c r="F587" i="14"/>
  <c r="H1106" i="14" a="1"/>
  <c r="G4295" i="14"/>
  <c r="H198" i="14" a="1"/>
  <c r="H1016" i="14" a="1"/>
  <c r="G3512" i="14"/>
  <c r="H4207" i="14" a="1"/>
  <c r="F720" i="14"/>
  <c r="H836" i="14" a="1"/>
  <c r="F4035" i="14"/>
  <c r="F4905" i="14"/>
  <c r="H2366" i="14" a="1"/>
  <c r="F3861" i="14"/>
  <c r="F656" i="14"/>
  <c r="H1646" i="14" l="1"/>
  <c r="H4381" i="14"/>
  <c r="H1466" i="14"/>
  <c r="H4903" i="14"/>
  <c r="H4729" i="14"/>
  <c r="H1016" i="14"/>
  <c r="H4816" i="14"/>
  <c r="H3772" i="14"/>
  <c r="H2006" i="14"/>
  <c r="H3511" i="14"/>
  <c r="H4468" i="14"/>
  <c r="H2276" i="14"/>
  <c r="H4555" i="14"/>
  <c r="H1556" i="14"/>
  <c r="H198" i="14"/>
  <c r="H1826" i="14"/>
  <c r="H3685" i="14"/>
  <c r="H3250" i="14"/>
  <c r="H4207" i="14"/>
  <c r="H262" i="14"/>
  <c r="H3946" i="14"/>
  <c r="H1286" i="14"/>
  <c r="H4120" i="14"/>
  <c r="H2366" i="14"/>
  <c r="H4033" i="14"/>
  <c r="H2547" i="14"/>
  <c r="H5078" i="14"/>
  <c r="H4642" i="14"/>
  <c r="H926" i="14"/>
  <c r="H2096" i="14"/>
  <c r="H2186" i="14"/>
  <c r="H390" i="14"/>
  <c r="H746" i="14"/>
  <c r="H4294" i="14"/>
  <c r="H3337" i="14"/>
  <c r="H3859" i="14"/>
  <c r="H656" i="14"/>
  <c r="H2456" i="14"/>
  <c r="H518" i="14"/>
  <c r="H326" i="14"/>
  <c r="H1736" i="14"/>
  <c r="H583" i="14"/>
  <c r="H1196" i="14"/>
  <c r="H454" i="14"/>
  <c r="H4990" i="14"/>
  <c r="H3424" i="14"/>
  <c r="H1916" i="14"/>
  <c r="H3598" i="14"/>
  <c r="H1106" i="14"/>
  <c r="H836" i="14"/>
  <c r="H1376" i="14"/>
  <c r="C4732" i="14"/>
  <c r="B2478" i="14"/>
  <c r="C3949" i="14"/>
  <c r="B786" i="14"/>
  <c r="C1199" i="14"/>
  <c r="B3515" i="14"/>
  <c r="C585" i="14"/>
  <c r="B4037" i="14"/>
  <c r="B3689" i="14"/>
  <c r="C3862" i="14"/>
  <c r="B3776" i="14"/>
  <c r="B5081" i="14"/>
  <c r="C4558" i="14"/>
  <c r="C3688" i="14"/>
  <c r="B4559" i="14"/>
  <c r="B3254" i="14"/>
  <c r="B3341" i="14"/>
  <c r="C4297" i="14"/>
  <c r="C2549" i="14"/>
  <c r="C3514" i="14"/>
  <c r="B3863" i="14"/>
  <c r="C4645" i="14"/>
  <c r="C2459" i="14"/>
  <c r="C4036" i="14"/>
  <c r="B4820" i="14"/>
  <c r="C1649" i="14"/>
  <c r="B4472" i="14"/>
  <c r="C3601" i="14"/>
  <c r="C2189" i="14"/>
  <c r="C1019" i="14"/>
  <c r="C749" i="14"/>
  <c r="C659" i="14"/>
  <c r="B3602" i="14"/>
  <c r="C1739" i="14"/>
  <c r="B2571" i="14"/>
  <c r="B4733" i="14"/>
  <c r="C1379" i="14"/>
  <c r="B4646" i="14"/>
  <c r="C2279" i="14"/>
  <c r="C4906" i="14"/>
  <c r="B3428" i="14"/>
  <c r="C521" i="14"/>
  <c r="C393" i="14"/>
  <c r="C1829" i="14"/>
  <c r="C4123" i="14"/>
  <c r="B3950" i="14"/>
  <c r="C2009" i="14"/>
  <c r="C2369" i="14"/>
  <c r="B4124" i="14"/>
  <c r="C3775" i="14"/>
  <c r="C1559" i="14"/>
  <c r="C4819" i="14"/>
  <c r="C5080" i="14"/>
  <c r="C4471" i="14"/>
  <c r="C3253" i="14"/>
  <c r="C3340" i="14"/>
  <c r="C4210" i="14"/>
  <c r="C1469" i="14"/>
  <c r="B588" i="14"/>
  <c r="C1289" i="14"/>
  <c r="C1109" i="14"/>
  <c r="C839" i="14"/>
  <c r="C457" i="14"/>
  <c r="C929" i="14"/>
  <c r="B4994" i="14"/>
  <c r="C4993" i="14"/>
  <c r="B658" i="14"/>
  <c r="B722" i="14"/>
  <c r="C2099" i="14"/>
  <c r="B4211" i="14"/>
  <c r="B4385" i="14"/>
  <c r="B4907" i="14"/>
  <c r="C4384" i="14"/>
  <c r="B4298" i="14"/>
  <c r="C1919" i="14"/>
  <c r="C3427" i="14"/>
  <c r="H657" i="14" a="1"/>
  <c r="F4036" i="14"/>
  <c r="H747" i="14" a="1"/>
  <c r="G456" i="14"/>
  <c r="H1107" i="14" a="1"/>
  <c r="G3513" i="14"/>
  <c r="G4905" i="14"/>
  <c r="H4295" i="14" a="1"/>
  <c r="F3601" i="14"/>
  <c r="G328" i="14"/>
  <c r="G658" i="14"/>
  <c r="H4469" i="14" a="1"/>
  <c r="G1558" i="14"/>
  <c r="H1017" i="14" a="1"/>
  <c r="G928" i="14"/>
  <c r="H3425" i="14" a="1"/>
  <c r="G2098" i="14"/>
  <c r="H3860" i="14" a="1"/>
  <c r="G520" i="14"/>
  <c r="G1648" i="14"/>
  <c r="G4818" i="14"/>
  <c r="H1197" i="14" a="1"/>
  <c r="G2458" i="14"/>
  <c r="G4035" i="14"/>
  <c r="G1468" i="14"/>
  <c r="F721" i="14"/>
  <c r="H837" i="14" a="1"/>
  <c r="F4645" i="14"/>
  <c r="H4904" i="14" a="1"/>
  <c r="H4817" i="14" a="1"/>
  <c r="F4993" i="14"/>
  <c r="H4991" i="14" a="1"/>
  <c r="H455" i="14" a="1"/>
  <c r="F657" i="14"/>
  <c r="G2188" i="14"/>
  <c r="F4123" i="14"/>
  <c r="H2277" i="14" a="1"/>
  <c r="H3773" i="14" a="1"/>
  <c r="G3252" i="14"/>
  <c r="G1288" i="14"/>
  <c r="H584" i="14" a="1"/>
  <c r="G838" i="14"/>
  <c r="H1827" i="14" a="1"/>
  <c r="G1198" i="14"/>
  <c r="F4297" i="14"/>
  <c r="G4731" i="14"/>
  <c r="H4208" i="14" a="1"/>
  <c r="G3339" i="14"/>
  <c r="H2457" i="14" a="1"/>
  <c r="F4732" i="14"/>
  <c r="F588" i="14"/>
  <c r="G4383" i="14"/>
  <c r="G3948" i="14"/>
  <c r="G3600" i="14"/>
  <c r="H4034" i="14" a="1"/>
  <c r="G4209" i="14"/>
  <c r="G2549" i="14"/>
  <c r="H2187" i="14" a="1"/>
  <c r="F4558" i="14"/>
  <c r="H3338" i="14" a="1"/>
  <c r="G3426" i="14"/>
  <c r="H519" i="14" a="1"/>
  <c r="G585" i="14"/>
  <c r="H2007" i="14" a="1"/>
  <c r="H3251" i="14" a="1"/>
  <c r="F2477" i="14"/>
  <c r="H1557" i="14" a="1"/>
  <c r="G3774" i="14"/>
  <c r="H4121" i="14" a="1"/>
  <c r="G1378" i="14"/>
  <c r="G1738" i="14"/>
  <c r="F3253" i="14"/>
  <c r="G392" i="14"/>
  <c r="F4210" i="14"/>
  <c r="G2368" i="14"/>
  <c r="H3512" i="14" a="1"/>
  <c r="G4557" i="14"/>
  <c r="F3340" i="14"/>
  <c r="F2570" i="14"/>
  <c r="H4730" i="14" a="1"/>
  <c r="H263" i="14" a="1"/>
  <c r="G4644" i="14"/>
  <c r="H1647" i="14" a="1"/>
  <c r="F3427" i="14"/>
  <c r="F4471" i="14"/>
  <c r="H1377" i="14" a="1"/>
  <c r="F523" i="14"/>
  <c r="G2008" i="14"/>
  <c r="H3599" i="14" a="1"/>
  <c r="F3862" i="14"/>
  <c r="G3687" i="14"/>
  <c r="H1737" i="14" a="1"/>
  <c r="G748" i="14"/>
  <c r="H5079" i="14" a="1"/>
  <c r="H1467" i="14" a="1"/>
  <c r="G1918" i="14"/>
  <c r="G1018" i="14"/>
  <c r="G4122" i="14"/>
  <c r="H391" i="14" a="1"/>
  <c r="H2548" i="14" a="1"/>
  <c r="G4470" i="14"/>
  <c r="F786" i="14"/>
  <c r="H327" i="14" a="1"/>
  <c r="H4382" i="14" a="1"/>
  <c r="H927" i="14" a="1"/>
  <c r="G2278" i="14"/>
  <c r="G1108" i="14"/>
  <c r="H1917" i="14" a="1"/>
  <c r="H2097" i="14" a="1"/>
  <c r="F3514" i="14"/>
  <c r="F3775" i="14"/>
  <c r="H4643" i="14" a="1"/>
  <c r="G5080" i="14"/>
  <c r="G4992" i="14"/>
  <c r="F5081" i="14"/>
  <c r="H4556" i="14" a="1"/>
  <c r="H1287" i="14" a="1"/>
  <c r="F4819" i="14"/>
  <c r="G1828" i="14"/>
  <c r="H2367" i="14" a="1"/>
  <c r="H3686" i="14" a="1"/>
  <c r="F4384" i="14"/>
  <c r="F4906" i="14"/>
  <c r="G3861" i="14"/>
  <c r="F3688" i="14"/>
  <c r="G4296" i="14"/>
  <c r="F3949" i="14"/>
  <c r="H3947" i="14" a="1"/>
  <c r="H584" i="14" l="1"/>
  <c r="H4730" i="14"/>
  <c r="H1017" i="14"/>
  <c r="H3773" i="14"/>
  <c r="H1287" i="14"/>
  <c r="H4295" i="14"/>
  <c r="H1827" i="14"/>
  <c r="H3860" i="14"/>
  <c r="H455" i="14"/>
  <c r="H3425" i="14"/>
  <c r="H3947" i="14"/>
  <c r="H4817" i="14"/>
  <c r="H2097" i="14"/>
  <c r="H3338" i="14"/>
  <c r="H391" i="14"/>
  <c r="H1557" i="14"/>
  <c r="H3599" i="14"/>
  <c r="H2007" i="14"/>
  <c r="H4034" i="14"/>
  <c r="H1197" i="14"/>
  <c r="H5079" i="14"/>
  <c r="H4556" i="14"/>
  <c r="H837" i="14"/>
  <c r="H747" i="14"/>
  <c r="H263" i="14"/>
  <c r="H2367" i="14"/>
  <c r="H4208" i="14"/>
  <c r="H3512" i="14"/>
  <c r="H2277" i="14"/>
  <c r="H1917" i="14"/>
  <c r="H1647" i="14"/>
  <c r="H2187" i="14"/>
  <c r="H3251" i="14"/>
  <c r="H4643" i="14"/>
  <c r="H327" i="14"/>
  <c r="H4469" i="14"/>
  <c r="H4904" i="14"/>
  <c r="H2548" i="14"/>
  <c r="H4121" i="14"/>
  <c r="H2457" i="14"/>
  <c r="H657" i="14"/>
  <c r="H4382" i="14"/>
  <c r="H1467" i="14"/>
  <c r="H519" i="14"/>
  <c r="H1377" i="14"/>
  <c r="H1737" i="14"/>
  <c r="H1107" i="14"/>
  <c r="H927" i="14"/>
  <c r="H3686" i="14"/>
  <c r="H4991" i="14"/>
  <c r="C2190" i="14"/>
  <c r="B4560" i="14"/>
  <c r="C1380" i="14"/>
  <c r="C1650" i="14"/>
  <c r="C458" i="14"/>
  <c r="C3776" i="14"/>
  <c r="B3603" i="14"/>
  <c r="C2010" i="14"/>
  <c r="B723" i="14"/>
  <c r="B659" i="14"/>
  <c r="C4559" i="14"/>
  <c r="C3863" i="14"/>
  <c r="C586" i="14"/>
  <c r="C1740" i="14"/>
  <c r="C4385" i="14"/>
  <c r="C4907" i="14"/>
  <c r="C1920" i="14"/>
  <c r="C660" i="14"/>
  <c r="C750" i="14"/>
  <c r="B4995" i="14"/>
  <c r="C840" i="14"/>
  <c r="B787" i="14"/>
  <c r="C2370" i="14"/>
  <c r="B2479" i="14"/>
  <c r="B4473" i="14"/>
  <c r="C1560" i="14"/>
  <c r="B4038" i="14"/>
  <c r="B4734" i="14"/>
  <c r="C1830" i="14"/>
  <c r="B3429" i="14"/>
  <c r="C4646" i="14"/>
  <c r="B3777" i="14"/>
  <c r="C1290" i="14"/>
  <c r="C4820" i="14"/>
  <c r="C4994" i="14"/>
  <c r="C2460" i="14"/>
  <c r="B4821" i="14"/>
  <c r="C2550" i="14"/>
  <c r="C3515" i="14"/>
  <c r="C1020" i="14"/>
  <c r="C3254" i="14"/>
  <c r="C3341" i="14"/>
  <c r="C2100" i="14"/>
  <c r="C4733" i="14"/>
  <c r="C3950" i="14"/>
  <c r="C5081" i="14"/>
  <c r="C930" i="14"/>
  <c r="C4211" i="14"/>
  <c r="B3516" i="14"/>
  <c r="B3690" i="14"/>
  <c r="C2280" i="14"/>
  <c r="B4908" i="14"/>
  <c r="B3951" i="14"/>
  <c r="B3255" i="14"/>
  <c r="B3342" i="14"/>
  <c r="C4472" i="14"/>
  <c r="B5082" i="14"/>
  <c r="C4298" i="14"/>
  <c r="C3602" i="14"/>
  <c r="B3864" i="14"/>
  <c r="C4037" i="14"/>
  <c r="C3428" i="14"/>
  <c r="B4647" i="14"/>
  <c r="B2572" i="14"/>
  <c r="C522" i="14"/>
  <c r="C1110" i="14"/>
  <c r="B4386" i="14"/>
  <c r="B4299" i="14"/>
  <c r="C1200" i="14"/>
  <c r="B4212" i="14"/>
  <c r="C1470" i="14"/>
  <c r="C3689" i="14"/>
  <c r="C4124" i="14"/>
  <c r="B4125" i="14"/>
  <c r="F4298" i="14"/>
  <c r="H1288" i="14" a="1"/>
  <c r="G1289" i="14"/>
  <c r="F4733" i="14"/>
  <c r="H1198" i="14" a="1"/>
  <c r="G4732" i="14"/>
  <c r="H3426" i="14" a="1"/>
  <c r="G3601" i="14"/>
  <c r="H1558" i="14" a="1"/>
  <c r="F2478" i="14"/>
  <c r="G4906" i="14"/>
  <c r="G1919" i="14"/>
  <c r="H1918" i="14" a="1"/>
  <c r="F4820" i="14"/>
  <c r="H328" i="14" a="1"/>
  <c r="G2369" i="14"/>
  <c r="H1828" i="14" a="1"/>
  <c r="F787" i="14"/>
  <c r="H4296" i="14" a="1"/>
  <c r="H4035" i="14" a="1"/>
  <c r="G393" i="14"/>
  <c r="F3776" i="14"/>
  <c r="G1829" i="14"/>
  <c r="G1739" i="14"/>
  <c r="G2009" i="14"/>
  <c r="H928" i="14" a="1"/>
  <c r="H2188" i="14" a="1"/>
  <c r="H3948" i="14" a="1"/>
  <c r="F3602" i="14"/>
  <c r="F3689" i="14"/>
  <c r="F4646" i="14"/>
  <c r="G3862" i="14"/>
  <c r="H2458" i="14" a="1"/>
  <c r="H4818" i="14" a="1"/>
  <c r="H5080" i="14" a="1"/>
  <c r="F4037" i="14"/>
  <c r="G839" i="14"/>
  <c r="G521" i="14"/>
  <c r="G929" i="14"/>
  <c r="H658" i="14" a="1"/>
  <c r="H1738" i="14" a="1"/>
  <c r="H4992" i="14" a="1"/>
  <c r="G4210" i="14"/>
  <c r="F4907" i="14"/>
  <c r="H4644" i="14" a="1"/>
  <c r="G457" i="14"/>
  <c r="H4470" i="14" a="1"/>
  <c r="G3688" i="14"/>
  <c r="F3515" i="14"/>
  <c r="G5081" i="14"/>
  <c r="G4645" i="14"/>
  <c r="G4036" i="14"/>
  <c r="F4472" i="14"/>
  <c r="H2278" i="14" a="1"/>
  <c r="H4122" i="14" a="1"/>
  <c r="H3687" i="14" a="1"/>
  <c r="H1468" i="14" a="1"/>
  <c r="F4211" i="14"/>
  <c r="G2550" i="14"/>
  <c r="G2279" i="14"/>
  <c r="H1108" i="14" a="1"/>
  <c r="F3254" i="14"/>
  <c r="F4994" i="14"/>
  <c r="F4559" i="14"/>
  <c r="H4383" i="14" a="1"/>
  <c r="F3863" i="14"/>
  <c r="F3950" i="14"/>
  <c r="H838" i="14" a="1"/>
  <c r="G4384" i="14"/>
  <c r="H3774" i="14" a="1"/>
  <c r="G1469" i="14"/>
  <c r="G1559" i="14"/>
  <c r="H1018" i="14" a="1"/>
  <c r="F4385" i="14"/>
  <c r="F658" i="14"/>
  <c r="H2098" i="14" a="1"/>
  <c r="G3514" i="14"/>
  <c r="G2189" i="14"/>
  <c r="H2368" i="14" a="1"/>
  <c r="F3341" i="14"/>
  <c r="H3861" i="14" a="1"/>
  <c r="F2571" i="14"/>
  <c r="G2099" i="14"/>
  <c r="H4209" i="14" a="1"/>
  <c r="H2549" i="14" a="1"/>
  <c r="G1379" i="14"/>
  <c r="H520" i="14" a="1"/>
  <c r="G3427" i="14"/>
  <c r="G4819" i="14"/>
  <c r="G4993" i="14"/>
  <c r="H2008" i="14" a="1"/>
  <c r="H456" i="14" a="1"/>
  <c r="H392" i="14" a="1"/>
  <c r="G4297" i="14"/>
  <c r="G659" i="14"/>
  <c r="G3775" i="14"/>
  <c r="G1109" i="14"/>
  <c r="G2459" i="14"/>
  <c r="H4731" i="14" a="1"/>
  <c r="G1199" i="14"/>
  <c r="H585" i="14" a="1"/>
  <c r="F722" i="14"/>
  <c r="G1649" i="14"/>
  <c r="G3949" i="14"/>
  <c r="G1019" i="14"/>
  <c r="G4471" i="14"/>
  <c r="G4123" i="14"/>
  <c r="G4558" i="14"/>
  <c r="G3253" i="14"/>
  <c r="H4905" i="14" a="1"/>
  <c r="H3252" i="14" a="1"/>
  <c r="H3600" i="14" a="1"/>
  <c r="H1378" i="14" a="1"/>
  <c r="H3339" i="14" a="1"/>
  <c r="G586" i="14"/>
  <c r="F3428" i="14"/>
  <c r="G749" i="14"/>
  <c r="F5082" i="14"/>
  <c r="G3340" i="14"/>
  <c r="H3513" i="14" a="1"/>
  <c r="H748" i="14" a="1"/>
  <c r="F4124" i="14"/>
  <c r="H1648" i="14" a="1"/>
  <c r="H4557" i="14" a="1"/>
  <c r="H5080" i="14" l="1"/>
  <c r="H4992" i="14"/>
  <c r="H1468" i="14"/>
  <c r="H2368" i="14"/>
  <c r="H328" i="14"/>
  <c r="H456" i="14"/>
  <c r="H1108" i="14"/>
  <c r="H1558" i="14"/>
  <c r="H2188" i="14"/>
  <c r="H4818" i="14"/>
  <c r="H3252" i="14"/>
  <c r="H4383" i="14"/>
  <c r="H4557" i="14"/>
  <c r="H2549" i="14"/>
  <c r="H3339" i="14"/>
  <c r="H748" i="14"/>
  <c r="H4296" i="14"/>
  <c r="H928" i="14"/>
  <c r="H1738" i="14"/>
  <c r="H1288" i="14"/>
  <c r="H4122" i="14"/>
  <c r="H2098" i="14"/>
  <c r="H4644" i="14"/>
  <c r="H1378" i="14"/>
  <c r="H3774" i="14"/>
  <c r="H3861" i="14"/>
  <c r="H2458" i="14"/>
  <c r="H3687" i="14"/>
  <c r="H4470" i="14"/>
  <c r="H1918" i="14"/>
  <c r="H4731" i="14"/>
  <c r="H3948" i="14"/>
  <c r="H3426" i="14"/>
  <c r="H838" i="14"/>
  <c r="H520" i="14"/>
  <c r="H4905" i="14"/>
  <c r="H585" i="14"/>
  <c r="H1648" i="14"/>
  <c r="H2008" i="14"/>
  <c r="H4035" i="14"/>
  <c r="H3513" i="14"/>
  <c r="H1198" i="14"/>
  <c r="H1828" i="14"/>
  <c r="H658" i="14"/>
  <c r="H392" i="14"/>
  <c r="H2278" i="14"/>
  <c r="H4209" i="14"/>
  <c r="H1018" i="14"/>
  <c r="H3600" i="14"/>
  <c r="C2551" i="14"/>
  <c r="B4213" i="14"/>
  <c r="C4386" i="14"/>
  <c r="B3604" i="14"/>
  <c r="B4909" i="14"/>
  <c r="C1921" i="14"/>
  <c r="C931" i="14"/>
  <c r="C4995" i="14"/>
  <c r="C3951" i="14"/>
  <c r="C2101" i="14"/>
  <c r="C1741" i="14"/>
  <c r="C587" i="14"/>
  <c r="B4039" i="14"/>
  <c r="C4038" i="14"/>
  <c r="C1111" i="14"/>
  <c r="B4822" i="14"/>
  <c r="C1291" i="14"/>
  <c r="B2480" i="14"/>
  <c r="C1471" i="14"/>
  <c r="C4299" i="14"/>
  <c r="C4734" i="14"/>
  <c r="C841" i="14"/>
  <c r="B3952" i="14"/>
  <c r="B4126" i="14"/>
  <c r="B4474" i="14"/>
  <c r="B3430" i="14"/>
  <c r="C2371" i="14"/>
  <c r="C2191" i="14"/>
  <c r="C4908" i="14"/>
  <c r="B3517" i="14"/>
  <c r="C1831" i="14"/>
  <c r="B724" i="14"/>
  <c r="B660" i="14"/>
  <c r="C523" i="14"/>
  <c r="C2281" i="14"/>
  <c r="B4996" i="14"/>
  <c r="C4473" i="14"/>
  <c r="B3691" i="14"/>
  <c r="C3777" i="14"/>
  <c r="C4821" i="14"/>
  <c r="C5082" i="14"/>
  <c r="C2461" i="14"/>
  <c r="C1561" i="14"/>
  <c r="B4735" i="14"/>
  <c r="C3690" i="14"/>
  <c r="C3429" i="14"/>
  <c r="C1651" i="14"/>
  <c r="B788" i="14"/>
  <c r="C4212" i="14"/>
  <c r="C4125" i="14"/>
  <c r="B3865" i="14"/>
  <c r="B5083" i="14"/>
  <c r="C4647" i="14"/>
  <c r="B2573" i="14"/>
  <c r="C4560" i="14"/>
  <c r="C3603" i="14"/>
  <c r="C3864" i="14"/>
  <c r="B4387" i="14"/>
  <c r="C1021" i="14"/>
  <c r="C751" i="14"/>
  <c r="C661" i="14"/>
  <c r="B4648" i="14"/>
  <c r="B4300" i="14"/>
  <c r="C1201" i="14"/>
  <c r="C3516" i="14"/>
  <c r="B3343" i="14"/>
  <c r="B3256" i="14"/>
  <c r="B3778" i="14"/>
  <c r="C3255" i="14"/>
  <c r="C3342" i="14"/>
  <c r="C1381" i="14"/>
  <c r="B4561" i="14"/>
  <c r="C2011" i="14"/>
  <c r="G4559" i="14"/>
  <c r="H3949" i="14" a="1"/>
  <c r="G4646" i="14"/>
  <c r="H1649" i="14" a="1"/>
  <c r="F4386" i="14"/>
  <c r="H4471" i="14" a="1"/>
  <c r="G458" i="14"/>
  <c r="G4820" i="14"/>
  <c r="F4038" i="14"/>
  <c r="G3254" i="14"/>
  <c r="H1109" i="14" a="1"/>
  <c r="G1470" i="14"/>
  <c r="H4297" i="14" a="1"/>
  <c r="F788" i="14"/>
  <c r="G4124" i="14"/>
  <c r="H4123" i="14" a="1"/>
  <c r="F4125" i="14"/>
  <c r="H4906" i="14" a="1"/>
  <c r="F3603" i="14"/>
  <c r="F659" i="14"/>
  <c r="G4733" i="14"/>
  <c r="F4995" i="14"/>
  <c r="H4558" i="14" a="1"/>
  <c r="H1739" i="14" a="1"/>
  <c r="F3342" i="14"/>
  <c r="H5081" i="14" a="1"/>
  <c r="G840" i="14"/>
  <c r="H457" i="14" a="1"/>
  <c r="H1019" i="14" a="1"/>
  <c r="F4821" i="14"/>
  <c r="G4385" i="14"/>
  <c r="H4993" i="14" a="1"/>
  <c r="G522" i="14"/>
  <c r="H3688" i="14" a="1"/>
  <c r="F4908" i="14"/>
  <c r="F3864" i="14"/>
  <c r="F3690" i="14"/>
  <c r="H3340" i="14" a="1"/>
  <c r="H1199" i="14" a="1"/>
  <c r="G3950" i="14"/>
  <c r="G3428" i="14"/>
  <c r="G2551" i="14"/>
  <c r="G1200" i="14"/>
  <c r="F4734" i="14"/>
  <c r="F4647" i="14"/>
  <c r="H4645" i="14" a="1"/>
  <c r="H1379" i="14" a="1"/>
  <c r="H749" i="14" a="1"/>
  <c r="G5082" i="14"/>
  <c r="G1020" i="14"/>
  <c r="G3515" i="14"/>
  <c r="H2279" i="14" a="1"/>
  <c r="G4994" i="14"/>
  <c r="F4299" i="14"/>
  <c r="H2189" i="14" a="1"/>
  <c r="H4036" i="14" a="1"/>
  <c r="H1559" i="14" a="1"/>
  <c r="H3514" i="14" a="1"/>
  <c r="G1110" i="14"/>
  <c r="G3341" i="14"/>
  <c r="G2280" i="14"/>
  <c r="G1740" i="14"/>
  <c r="H3775" i="14" a="1"/>
  <c r="G930" i="14"/>
  <c r="H2009" i="14" a="1"/>
  <c r="F4473" i="14"/>
  <c r="H2099" i="14" a="1"/>
  <c r="G1380" i="14"/>
  <c r="F2479" i="14"/>
  <c r="F5083" i="14"/>
  <c r="G2190" i="14"/>
  <c r="H4210" i="14" a="1"/>
  <c r="G3863" i="14"/>
  <c r="G3602" i="14"/>
  <c r="G2100" i="14"/>
  <c r="G1650" i="14"/>
  <c r="F3951" i="14"/>
  <c r="H1919" i="14" a="1"/>
  <c r="F3429" i="14"/>
  <c r="H2550" i="14" a="1"/>
  <c r="G2370" i="14"/>
  <c r="H2459" i="14" a="1"/>
  <c r="F4212" i="14"/>
  <c r="F3255" i="14"/>
  <c r="G750" i="14"/>
  <c r="H586" i="14" a="1"/>
  <c r="F3777" i="14"/>
  <c r="H4819" i="14" a="1"/>
  <c r="G4037" i="14"/>
  <c r="G3689" i="14"/>
  <c r="H4732" i="14" a="1"/>
  <c r="H4384" i="14" a="1"/>
  <c r="G1920" i="14"/>
  <c r="H1289" i="14" a="1"/>
  <c r="G4211" i="14"/>
  <c r="H521" i="14" a="1"/>
  <c r="H1829" i="14" a="1"/>
  <c r="H393" i="14" a="1"/>
  <c r="F4560" i="14"/>
  <c r="H3601" i="14" a="1"/>
  <c r="H3427" i="14" a="1"/>
  <c r="G4907" i="14"/>
  <c r="G587" i="14"/>
  <c r="H3253" i="14" a="1"/>
  <c r="H1469" i="14" a="1"/>
  <c r="G4298" i="14"/>
  <c r="F3516" i="14"/>
  <c r="G3776" i="14"/>
  <c r="G1290" i="14"/>
  <c r="G1830" i="14"/>
  <c r="G2460" i="14"/>
  <c r="G2010" i="14"/>
  <c r="H2369" i="14" a="1"/>
  <c r="H839" i="14" a="1"/>
  <c r="G660" i="14"/>
  <c r="G1560" i="14"/>
  <c r="G4472" i="14"/>
  <c r="F723" i="14"/>
  <c r="F2572" i="14"/>
  <c r="H929" i="14" a="1"/>
  <c r="H3862" i="14" a="1"/>
  <c r="H659" i="14" a="1"/>
  <c r="H3427" i="14" l="1"/>
  <c r="H2189" i="14"/>
  <c r="H659" i="14"/>
  <c r="H4297" i="14"/>
  <c r="H1469" i="14"/>
  <c r="H929" i="14"/>
  <c r="H521" i="14"/>
  <c r="H3688" i="14"/>
  <c r="H1289" i="14"/>
  <c r="H749" i="14"/>
  <c r="H839" i="14"/>
  <c r="H3862" i="14"/>
  <c r="H393" i="14"/>
  <c r="H3514" i="14"/>
  <c r="H4819" i="14"/>
  <c r="H5081" i="14"/>
  <c r="H586" i="14"/>
  <c r="H3601" i="14"/>
  <c r="H1379" i="14"/>
  <c r="H2369" i="14"/>
  <c r="H1019" i="14"/>
  <c r="H2279" i="14"/>
  <c r="H2550" i="14"/>
  <c r="H4906" i="14"/>
  <c r="H1919" i="14"/>
  <c r="H4993" i="14"/>
  <c r="H1199" i="14"/>
  <c r="H4645" i="14"/>
  <c r="H2459" i="14"/>
  <c r="H3253" i="14"/>
  <c r="H2099" i="14"/>
  <c r="H2009" i="14"/>
  <c r="H3775" i="14"/>
  <c r="H1739" i="14"/>
  <c r="H4384" i="14"/>
  <c r="H3340" i="14"/>
  <c r="H4210" i="14"/>
  <c r="H1829" i="14"/>
  <c r="H4471" i="14"/>
  <c r="H1649" i="14"/>
  <c r="H3949" i="14"/>
  <c r="H4123" i="14"/>
  <c r="H4558" i="14"/>
  <c r="H4732" i="14"/>
  <c r="H1109" i="14"/>
  <c r="H457" i="14"/>
  <c r="H1559" i="14"/>
  <c r="H4036" i="14"/>
  <c r="C3430" i="14"/>
  <c r="C3604" i="14"/>
  <c r="C752" i="14"/>
  <c r="C662" i="14"/>
  <c r="C3952" i="14"/>
  <c r="C4735" i="14"/>
  <c r="C4300" i="14"/>
  <c r="C3778" i="14"/>
  <c r="C4387" i="14"/>
  <c r="B3692" i="14"/>
  <c r="C3256" i="14"/>
  <c r="C3343" i="14"/>
  <c r="C3691" i="14"/>
  <c r="B789" i="14"/>
  <c r="C2282" i="14"/>
  <c r="B4214" i="14"/>
  <c r="B4910" i="14"/>
  <c r="C5083" i="14"/>
  <c r="C842" i="14"/>
  <c r="C1832" i="14"/>
  <c r="C2102" i="14"/>
  <c r="C1292" i="14"/>
  <c r="C4474" i="14"/>
  <c r="B3866" i="14"/>
  <c r="C1652" i="14"/>
  <c r="B4301" i="14"/>
  <c r="B4649" i="14"/>
  <c r="B4388" i="14"/>
  <c r="C3517" i="14"/>
  <c r="C2552" i="14"/>
  <c r="C588" i="14"/>
  <c r="B3518" i="14"/>
  <c r="C932" i="14"/>
  <c r="B2481" i="14"/>
  <c r="C4126" i="14"/>
  <c r="C2192" i="14"/>
  <c r="C2012" i="14"/>
  <c r="B4823" i="14"/>
  <c r="B5084" i="14"/>
  <c r="B4040" i="14"/>
  <c r="C1112" i="14"/>
  <c r="B3953" i="14"/>
  <c r="C1202" i="14"/>
  <c r="C1742" i="14"/>
  <c r="C2372" i="14"/>
  <c r="C1472" i="14"/>
  <c r="B3344" i="14"/>
  <c r="B3257" i="14"/>
  <c r="B4475" i="14"/>
  <c r="B2574" i="14"/>
  <c r="C4213" i="14"/>
  <c r="B3779" i="14"/>
  <c r="C4996" i="14"/>
  <c r="C1382" i="14"/>
  <c r="C4909" i="14"/>
  <c r="C1922" i="14"/>
  <c r="C1562" i="14"/>
  <c r="C1022" i="14"/>
  <c r="C3865" i="14"/>
  <c r="C2462" i="14"/>
  <c r="C4648" i="14"/>
  <c r="B3605" i="14"/>
  <c r="B3431" i="14"/>
  <c r="B4736" i="14"/>
  <c r="C4561" i="14"/>
  <c r="B725" i="14"/>
  <c r="B661" i="14"/>
  <c r="B4562" i="14"/>
  <c r="C4822" i="14"/>
  <c r="B4127" i="14"/>
  <c r="C4039" i="14"/>
  <c r="B4997" i="14"/>
  <c r="H3515" i="14" a="1"/>
  <c r="G523" i="14"/>
  <c r="G3342" i="14"/>
  <c r="H930" i="14" a="1"/>
  <c r="F3952" i="14"/>
  <c r="G2552" i="14"/>
  <c r="G1921" i="14"/>
  <c r="H4559" i="14" a="1"/>
  <c r="G4821" i="14"/>
  <c r="F3430" i="14"/>
  <c r="H3689" i="14" a="1"/>
  <c r="F660" i="14"/>
  <c r="H2280" i="14" a="1"/>
  <c r="G2281" i="14"/>
  <c r="H2100" i="14" a="1"/>
  <c r="F4909" i="14"/>
  <c r="F4039" i="14"/>
  <c r="H1920" i="14" a="1"/>
  <c r="F2480" i="14"/>
  <c r="F4126" i="14"/>
  <c r="F3865" i="14"/>
  <c r="G4125" i="14"/>
  <c r="H4298" i="14" a="1"/>
  <c r="F3256" i="14"/>
  <c r="H660" i="14" a="1"/>
  <c r="G3255" i="14"/>
  <c r="F4648" i="14"/>
  <c r="G2371" i="14"/>
  <c r="F3517" i="14"/>
  <c r="G4647" i="14"/>
  <c r="H1380" i="14" a="1"/>
  <c r="G1651" i="14"/>
  <c r="H4211" i="14" a="1"/>
  <c r="H4472" i="14" a="1"/>
  <c r="H2190" i="14" a="1"/>
  <c r="H1020" i="14" a="1"/>
  <c r="F3343" i="14"/>
  <c r="G4560" i="14"/>
  <c r="H1470" i="14" a="1"/>
  <c r="G4212" i="14"/>
  <c r="H1110" i="14" a="1"/>
  <c r="H840" i="14" a="1"/>
  <c r="H1740" i="14" a="1"/>
  <c r="H3602" i="14" a="1"/>
  <c r="F4387" i="14"/>
  <c r="G4995" i="14"/>
  <c r="G4734" i="14"/>
  <c r="H1290" i="14" a="1"/>
  <c r="G3516" i="14"/>
  <c r="G661" i="14"/>
  <c r="G1741" i="14"/>
  <c r="F3778" i="14"/>
  <c r="H3428" i="14" a="1"/>
  <c r="G3864" i="14"/>
  <c r="H4994" i="14" a="1"/>
  <c r="G1561" i="14"/>
  <c r="G1381" i="14"/>
  <c r="H4385" i="14" a="1"/>
  <c r="H522" i="14" a="1"/>
  <c r="G1471" i="14"/>
  <c r="H5082" i="14" a="1"/>
  <c r="G2191" i="14"/>
  <c r="F4474" i="14"/>
  <c r="F4213" i="14"/>
  <c r="H3950" i="14" a="1"/>
  <c r="G1111" i="14"/>
  <c r="G841" i="14"/>
  <c r="H2370" i="14" a="1"/>
  <c r="G588" i="14"/>
  <c r="H1830" i="14" a="1"/>
  <c r="H3254" i="14" a="1"/>
  <c r="H4646" i="14" a="1"/>
  <c r="H2010" i="14" a="1"/>
  <c r="F2573" i="14"/>
  <c r="H2551" i="14" a="1"/>
  <c r="H4820" i="14" a="1"/>
  <c r="G5083" i="14"/>
  <c r="F4561" i="14"/>
  <c r="H1200" i="14" a="1"/>
  <c r="G751" i="14"/>
  <c r="F724" i="14"/>
  <c r="G931" i="14"/>
  <c r="H750" i="14" a="1"/>
  <c r="F5084" i="14"/>
  <c r="H3863" i="14" a="1"/>
  <c r="H4124" i="14" a="1"/>
  <c r="G2101" i="14"/>
  <c r="G4908" i="14"/>
  <c r="H1560" i="14" a="1"/>
  <c r="H1650" i="14" a="1"/>
  <c r="G4386" i="14"/>
  <c r="G1831" i="14"/>
  <c r="G1291" i="14"/>
  <c r="G3429" i="14"/>
  <c r="G3777" i="14"/>
  <c r="H4733" i="14" a="1"/>
  <c r="G3951" i="14"/>
  <c r="G4473" i="14"/>
  <c r="H587" i="14" a="1"/>
  <c r="G2011" i="14"/>
  <c r="H458" i="14" a="1"/>
  <c r="G1201" i="14"/>
  <c r="G4038" i="14"/>
  <c r="F4996" i="14"/>
  <c r="F4300" i="14"/>
  <c r="G3603" i="14"/>
  <c r="H3776" i="14" a="1"/>
  <c r="F789" i="14"/>
  <c r="F4735" i="14"/>
  <c r="H4907" i="14" a="1"/>
  <c r="H2460" i="14" a="1"/>
  <c r="H3341" i="14" a="1"/>
  <c r="F3691" i="14"/>
  <c r="F4822" i="14"/>
  <c r="G2461" i="14"/>
  <c r="G4299" i="14"/>
  <c r="G1021" i="14"/>
  <c r="F3604" i="14"/>
  <c r="G3690" i="14"/>
  <c r="H4037" i="14" a="1"/>
  <c r="H1560" i="14" l="1"/>
  <c r="H2010" i="14"/>
  <c r="H3254" i="14"/>
  <c r="H840" i="14"/>
  <c r="H1290" i="14"/>
  <c r="H930" i="14"/>
  <c r="H1470" i="14"/>
  <c r="H1830" i="14"/>
  <c r="H1380" i="14"/>
  <c r="H2280" i="14"/>
  <c r="H3689" i="14"/>
  <c r="H2190" i="14"/>
  <c r="H1110" i="14"/>
  <c r="H4994" i="14"/>
  <c r="H1650" i="14"/>
  <c r="H458" i="14"/>
  <c r="H4298" i="14"/>
  <c r="H522" i="14"/>
  <c r="H4385" i="14"/>
  <c r="H4124" i="14"/>
  <c r="H4472" i="14"/>
  <c r="H3776" i="14"/>
  <c r="H750" i="14"/>
  <c r="H3428" i="14"/>
  <c r="H2551" i="14"/>
  <c r="H2460" i="14"/>
  <c r="H4907" i="14"/>
  <c r="H1200" i="14"/>
  <c r="H3863" i="14"/>
  <c r="H587" i="14"/>
  <c r="H4820" i="14"/>
  <c r="H4646" i="14"/>
  <c r="H2100" i="14"/>
  <c r="H3602" i="14"/>
  <c r="H1740" i="14"/>
  <c r="H2370" i="14"/>
  <c r="H1920" i="14"/>
  <c r="H4211" i="14"/>
  <c r="H5082" i="14"/>
  <c r="H3341" i="14"/>
  <c r="H4037" i="14"/>
  <c r="H4733" i="14"/>
  <c r="H1020" i="14"/>
  <c r="H4559" i="14"/>
  <c r="H3950" i="14"/>
  <c r="H660" i="14"/>
  <c r="H3515" i="14"/>
  <c r="B3693" i="14"/>
  <c r="C1473" i="14"/>
  <c r="B2575" i="14"/>
  <c r="C2463" i="14"/>
  <c r="C1023" i="14"/>
  <c r="C3605" i="14"/>
  <c r="C2193" i="14"/>
  <c r="C4040" i="14"/>
  <c r="C4127" i="14"/>
  <c r="B790" i="14"/>
  <c r="C4475" i="14"/>
  <c r="C1203" i="14"/>
  <c r="C2103" i="14"/>
  <c r="C1743" i="14"/>
  <c r="B4998" i="14"/>
  <c r="C3779" i="14"/>
  <c r="C3866" i="14"/>
  <c r="C663" i="14"/>
  <c r="C753" i="14"/>
  <c r="C4649" i="14"/>
  <c r="C4736" i="14"/>
  <c r="C5084" i="14"/>
  <c r="B4563" i="14"/>
  <c r="B4128" i="14"/>
  <c r="B3606" i="14"/>
  <c r="B3954" i="14"/>
  <c r="C1923" i="14"/>
  <c r="B4302" i="14"/>
  <c r="C4910" i="14"/>
  <c r="B4824" i="14"/>
  <c r="C1833" i="14"/>
  <c r="C2283" i="14"/>
  <c r="B4476" i="14"/>
  <c r="C843" i="14"/>
  <c r="C2553" i="14"/>
  <c r="C2013" i="14"/>
  <c r="B3867" i="14"/>
  <c r="B3345" i="14"/>
  <c r="B3258" i="14"/>
  <c r="C1293" i="14"/>
  <c r="C933" i="14"/>
  <c r="C3344" i="14"/>
  <c r="C3257" i="14"/>
  <c r="C4388" i="14"/>
  <c r="C1653" i="14"/>
  <c r="B5085" i="14"/>
  <c r="B4650" i="14"/>
  <c r="C4301" i="14"/>
  <c r="B3432" i="14"/>
  <c r="C4214" i="14"/>
  <c r="B4737" i="14"/>
  <c r="C4562" i="14"/>
  <c r="C2373" i="14"/>
  <c r="C3692" i="14"/>
  <c r="C1113" i="14"/>
  <c r="B4041" i="14"/>
  <c r="B4911" i="14"/>
  <c r="B4389" i="14"/>
  <c r="B4215" i="14"/>
  <c r="C3431" i="14"/>
  <c r="B726" i="14"/>
  <c r="B662" i="14"/>
  <c r="B3519" i="14"/>
  <c r="C3953" i="14"/>
  <c r="C4997" i="14"/>
  <c r="C1563" i="14"/>
  <c r="B2482" i="14"/>
  <c r="C1383" i="14"/>
  <c r="B3780" i="14"/>
  <c r="C4823" i="14"/>
  <c r="C3518" i="14"/>
  <c r="H4125" i="14" a="1"/>
  <c r="F4388" i="14"/>
  <c r="H4038" i="14" a="1"/>
  <c r="G1022" i="14"/>
  <c r="G4735" i="14"/>
  <c r="F661" i="14"/>
  <c r="G3517" i="14"/>
  <c r="H2461" i="14" a="1"/>
  <c r="F4301" i="14"/>
  <c r="G2012" i="14"/>
  <c r="H931" i="14" a="1"/>
  <c r="G1562" i="14"/>
  <c r="F4736" i="14"/>
  <c r="G842" i="14"/>
  <c r="G2553" i="14"/>
  <c r="H3429" i="14" a="1"/>
  <c r="G3343" i="14"/>
  <c r="H588" i="14" a="1"/>
  <c r="G3865" i="14"/>
  <c r="H3951" i="14" a="1"/>
  <c r="H4473" i="14" a="1"/>
  <c r="G4561" i="14"/>
  <c r="H2371" i="14" a="1"/>
  <c r="H3690" i="14" a="1"/>
  <c r="F3953" i="14"/>
  <c r="F3518" i="14"/>
  <c r="H3255" i="14" a="1"/>
  <c r="G4996" i="14"/>
  <c r="G4300" i="14"/>
  <c r="G3256" i="14"/>
  <c r="H1381" i="14" a="1"/>
  <c r="G1472" i="14"/>
  <c r="H1741" i="14" a="1"/>
  <c r="F4214" i="14"/>
  <c r="H4386" i="14" a="1"/>
  <c r="H4908" i="14" a="1"/>
  <c r="G2102" i="14"/>
  <c r="G3691" i="14"/>
  <c r="G3604" i="14"/>
  <c r="G1112" i="14"/>
  <c r="H4299" i="14" a="1"/>
  <c r="F725" i="14"/>
  <c r="F3692" i="14"/>
  <c r="H2101" i="14" a="1"/>
  <c r="H2191" i="14" a="1"/>
  <c r="H3864" i="14" a="1"/>
  <c r="F2574" i="14"/>
  <c r="F4910" i="14"/>
  <c r="G1202" i="14"/>
  <c r="G4822" i="14"/>
  <c r="H3777" i="14" a="1"/>
  <c r="G1832" i="14"/>
  <c r="H3342" i="14" a="1"/>
  <c r="F4127" i="14"/>
  <c r="H4560" i="14" a="1"/>
  <c r="H2281" i="14" a="1"/>
  <c r="H3516" i="14" a="1"/>
  <c r="H1561" i="14" a="1"/>
  <c r="G2372" i="14"/>
  <c r="F4823" i="14"/>
  <c r="G3952" i="14"/>
  <c r="H1471" i="14" a="1"/>
  <c r="G1292" i="14"/>
  <c r="G4648" i="14"/>
  <c r="F790" i="14"/>
  <c r="G752" i="14"/>
  <c r="F4562" i="14"/>
  <c r="H4212" i="14" a="1"/>
  <c r="G3430" i="14"/>
  <c r="G4909" i="14"/>
  <c r="G4474" i="14"/>
  <c r="F3779" i="14"/>
  <c r="H841" i="14" a="1"/>
  <c r="H1111" i="14" a="1"/>
  <c r="G2282" i="14"/>
  <c r="F2481" i="14"/>
  <c r="F3431" i="14"/>
  <c r="H1831" i="14" a="1"/>
  <c r="F4475" i="14"/>
  <c r="G4126" i="14"/>
  <c r="H1291" i="14" a="1"/>
  <c r="F4040" i="14"/>
  <c r="H2011" i="14" a="1"/>
  <c r="G1382" i="14"/>
  <c r="H1201" i="14" a="1"/>
  <c r="H1651" i="14" a="1"/>
  <c r="G932" i="14"/>
  <c r="F4649" i="14"/>
  <c r="G4213" i="14"/>
  <c r="H4995" i="14" a="1"/>
  <c r="G662" i="14"/>
  <c r="H4734" i="14" a="1"/>
  <c r="G1922" i="14"/>
  <c r="G4387" i="14"/>
  <c r="G2192" i="14"/>
  <c r="H751" i="14" a="1"/>
  <c r="H4647" i="14" a="1"/>
  <c r="H523" i="14" a="1"/>
  <c r="H1021" i="14" a="1"/>
  <c r="H4821" i="14" a="1"/>
  <c r="H661" i="14" a="1"/>
  <c r="G2462" i="14"/>
  <c r="F3344" i="14"/>
  <c r="F4997" i="14"/>
  <c r="F3866" i="14"/>
  <c r="H2552" i="14" a="1"/>
  <c r="H5083" i="14" a="1"/>
  <c r="H3603" i="14" a="1"/>
  <c r="H1921" i="14" a="1"/>
  <c r="G3778" i="14"/>
  <c r="G5084" i="14"/>
  <c r="G1652" i="14"/>
  <c r="G4039" i="14"/>
  <c r="G1742" i="14"/>
  <c r="F5085" i="14"/>
  <c r="F3605" i="14"/>
  <c r="F3257" i="14"/>
  <c r="H3864" i="14" l="1"/>
  <c r="H3342" i="14"/>
  <c r="H3777" i="14"/>
  <c r="H1291" i="14"/>
  <c r="H3516" i="14"/>
  <c r="H1831" i="14"/>
  <c r="H4299" i="14"/>
  <c r="H2461" i="14"/>
  <c r="H4647" i="14"/>
  <c r="H2191" i="14"/>
  <c r="H2371" i="14"/>
  <c r="H841" i="14"/>
  <c r="H3603" i="14"/>
  <c r="H4212" i="14"/>
  <c r="H4734" i="14"/>
  <c r="H4560" i="14"/>
  <c r="H4995" i="14"/>
  <c r="H751" i="14"/>
  <c r="H661" i="14"/>
  <c r="H1561" i="14"/>
  <c r="H4821" i="14"/>
  <c r="H931" i="14"/>
  <c r="H3255" i="14"/>
  <c r="H2552" i="14"/>
  <c r="H2011" i="14"/>
  <c r="H1381" i="14"/>
  <c r="H3429" i="14"/>
  <c r="H4125" i="14"/>
  <c r="H4386" i="14"/>
  <c r="H2281" i="14"/>
  <c r="H3951" i="14"/>
  <c r="H523" i="14"/>
  <c r="H588" i="14"/>
  <c r="H3690" i="14"/>
  <c r="H4908" i="14"/>
  <c r="H1921" i="14"/>
  <c r="H1651" i="14"/>
  <c r="H5083" i="14"/>
  <c r="H1201" i="14"/>
  <c r="H1741" i="14"/>
  <c r="H1471" i="14"/>
  <c r="H1111" i="14"/>
  <c r="H4038" i="14"/>
  <c r="H2101" i="14"/>
  <c r="H4473" i="14"/>
  <c r="H1021" i="14"/>
  <c r="B3955" i="14"/>
  <c r="B3694" i="14"/>
  <c r="C4911" i="14"/>
  <c r="C2104" i="14"/>
  <c r="B4390" i="14"/>
  <c r="C3867" i="14"/>
  <c r="C3606" i="14"/>
  <c r="B2483" i="14"/>
  <c r="B4303" i="14"/>
  <c r="C1204" i="14"/>
  <c r="B4825" i="14"/>
  <c r="C3345" i="14"/>
  <c r="C3258" i="14"/>
  <c r="B3433" i="14"/>
  <c r="B4912" i="14"/>
  <c r="C2194" i="14"/>
  <c r="C4215" i="14"/>
  <c r="B3607" i="14"/>
  <c r="C4302" i="14"/>
  <c r="C3432" i="14"/>
  <c r="C4824" i="14"/>
  <c r="C3954" i="14"/>
  <c r="C1114" i="14"/>
  <c r="B3781" i="14"/>
  <c r="B4477" i="14"/>
  <c r="C1024" i="14"/>
  <c r="C2554" i="14"/>
  <c r="C4737" i="14"/>
  <c r="B4651" i="14"/>
  <c r="B5086" i="14"/>
  <c r="C2284" i="14"/>
  <c r="B2576" i="14"/>
  <c r="B4564" i="14"/>
  <c r="C1294" i="14"/>
  <c r="C1654" i="14"/>
  <c r="B727" i="14"/>
  <c r="B663" i="14"/>
  <c r="C2464" i="14"/>
  <c r="C1744" i="14"/>
  <c r="B3520" i="14"/>
  <c r="C1384" i="14"/>
  <c r="B3868" i="14"/>
  <c r="C5085" i="14"/>
  <c r="C3519" i="14"/>
  <c r="C4041" i="14"/>
  <c r="B4129" i="14"/>
  <c r="C4650" i="14"/>
  <c r="C4389" i="14"/>
  <c r="C4476" i="14"/>
  <c r="C1924" i="14"/>
  <c r="C2014" i="14"/>
  <c r="C844" i="14"/>
  <c r="C1834" i="14"/>
  <c r="C3780" i="14"/>
  <c r="C4998" i="14"/>
  <c r="B4216" i="14"/>
  <c r="C4128" i="14"/>
  <c r="B791" i="14"/>
  <c r="B4999" i="14"/>
  <c r="C2374" i="14"/>
  <c r="C4563" i="14"/>
  <c r="C1474" i="14"/>
  <c r="B4738" i="14"/>
  <c r="B3346" i="14"/>
  <c r="B3259" i="14"/>
  <c r="C934" i="14"/>
  <c r="B4042" i="14"/>
  <c r="C664" i="14"/>
  <c r="C754" i="14"/>
  <c r="C3693" i="14"/>
  <c r="C1564" i="14"/>
  <c r="H4648" i="14" a="1"/>
  <c r="F4041" i="14"/>
  <c r="G4910" i="14"/>
  <c r="G1383" i="14"/>
  <c r="G843" i="14"/>
  <c r="H4126" i="14" a="1"/>
  <c r="G3779" i="14"/>
  <c r="F4824" i="14"/>
  <c r="G3344" i="14"/>
  <c r="H3430" i="14" a="1"/>
  <c r="G4649" i="14"/>
  <c r="H4300" i="14" a="1"/>
  <c r="F3432" i="14"/>
  <c r="H2192" i="14" a="1"/>
  <c r="G4997" i="14"/>
  <c r="H1292" i="14" a="1"/>
  <c r="G4475" i="14"/>
  <c r="H3865" i="14" a="1"/>
  <c r="F4650" i="14"/>
  <c r="G3866" i="14"/>
  <c r="G3953" i="14"/>
  <c r="H1472" i="14" a="1"/>
  <c r="G4214" i="14"/>
  <c r="H932" i="14" a="1"/>
  <c r="F4737" i="14"/>
  <c r="G4562" i="14"/>
  <c r="H3517" i="14" a="1"/>
  <c r="H5084" i="14" a="1"/>
  <c r="F3954" i="14"/>
  <c r="H662" i="14" a="1"/>
  <c r="H752" i="14" a="1"/>
  <c r="H4039" i="14" a="1"/>
  <c r="G753" i="14"/>
  <c r="H4561" i="14" a="1"/>
  <c r="H2012" i="14" a="1"/>
  <c r="H1562" i="14" a="1"/>
  <c r="H2282" i="14" a="1"/>
  <c r="F4476" i="14"/>
  <c r="F2482" i="14"/>
  <c r="F3258" i="14"/>
  <c r="G2554" i="14"/>
  <c r="F4215" i="14"/>
  <c r="G2373" i="14"/>
  <c r="G4823" i="14"/>
  <c r="H2553" i="14" a="1"/>
  <c r="F3867" i="14"/>
  <c r="H2372" i="14" a="1"/>
  <c r="G4040" i="14"/>
  <c r="F3780" i="14"/>
  <c r="H3604" i="14" a="1"/>
  <c r="G3692" i="14"/>
  <c r="H3778" i="14" a="1"/>
  <c r="F4302" i="14"/>
  <c r="H4387" i="14" a="1"/>
  <c r="G1203" i="14"/>
  <c r="G1923" i="14"/>
  <c r="H4735" i="14" a="1"/>
  <c r="G1653" i="14"/>
  <c r="H1832" i="14" a="1"/>
  <c r="F3606" i="14"/>
  <c r="G3518" i="14"/>
  <c r="G1563" i="14"/>
  <c r="F4911" i="14"/>
  <c r="H1382" i="14" a="1"/>
  <c r="F3345" i="14"/>
  <c r="H3952" i="14" a="1"/>
  <c r="F4389" i="14"/>
  <c r="H1742" i="14" a="1"/>
  <c r="F4563" i="14"/>
  <c r="H1022" i="14" a="1"/>
  <c r="H1202" i="14" a="1"/>
  <c r="H1652" i="14" a="1"/>
  <c r="G4736" i="14"/>
  <c r="F5086" i="14"/>
  <c r="H1922" i="14" a="1"/>
  <c r="H2102" i="14" a="1"/>
  <c r="G663" i="14"/>
  <c r="H4474" i="14" a="1"/>
  <c r="F662" i="14"/>
  <c r="H1112" i="14" a="1"/>
  <c r="G4301" i="14"/>
  <c r="G1023" i="14"/>
  <c r="F791" i="14"/>
  <c r="H3343" i="14" a="1"/>
  <c r="G1293" i="14"/>
  <c r="H3256" i="14" a="1"/>
  <c r="G3605" i="14"/>
  <c r="G3431" i="14"/>
  <c r="F4998" i="14"/>
  <c r="F3519" i="14"/>
  <c r="G933" i="14"/>
  <c r="G1833" i="14"/>
  <c r="F4128" i="14"/>
  <c r="G4388" i="14"/>
  <c r="H4909" i="14" a="1"/>
  <c r="G2103" i="14"/>
  <c r="H4996" i="14" a="1"/>
  <c r="G1473" i="14"/>
  <c r="H4822" i="14" a="1"/>
  <c r="H3691" i="14" a="1"/>
  <c r="G4127" i="14"/>
  <c r="H2462" i="14" a="1"/>
  <c r="G1743" i="14"/>
  <c r="H4213" i="14" a="1"/>
  <c r="F2575" i="14"/>
  <c r="G2283" i="14"/>
  <c r="G2193" i="14"/>
  <c r="G2013" i="14"/>
  <c r="G5085" i="14"/>
  <c r="G2463" i="14"/>
  <c r="G1113" i="14"/>
  <c r="F3693" i="14"/>
  <c r="G3257" i="14"/>
  <c r="F726" i="14"/>
  <c r="H842" i="14" a="1"/>
  <c r="H1202" i="14" l="1"/>
  <c r="H1382" i="14"/>
  <c r="H4822" i="14"/>
  <c r="H3517" i="14"/>
  <c r="H4213" i="14"/>
  <c r="H4126" i="14"/>
  <c r="H2462" i="14"/>
  <c r="H1562" i="14"/>
  <c r="H4735" i="14"/>
  <c r="H3343" i="14"/>
  <c r="H4561" i="14"/>
  <c r="H1922" i="14"/>
  <c r="H1112" i="14"/>
  <c r="H3778" i="14"/>
  <c r="H4909" i="14"/>
  <c r="H662" i="14"/>
  <c r="H4648" i="14"/>
  <c r="H1472" i="14"/>
  <c r="H5084" i="14"/>
  <c r="H3952" i="14"/>
  <c r="H4996" i="14"/>
  <c r="H2553" i="14"/>
  <c r="H3256" i="14"/>
  <c r="H4474" i="14"/>
  <c r="H3604" i="14"/>
  <c r="H1022" i="14"/>
  <c r="H2102" i="14"/>
  <c r="H3430" i="14"/>
  <c r="H3865" i="14"/>
  <c r="H2282" i="14"/>
  <c r="H932" i="14"/>
  <c r="H1292" i="14"/>
  <c r="H3691" i="14"/>
  <c r="H2192" i="14"/>
  <c r="H1742" i="14"/>
  <c r="H4387" i="14"/>
  <c r="H4039" i="14"/>
  <c r="H752" i="14"/>
  <c r="H1652" i="14"/>
  <c r="H1832" i="14"/>
  <c r="H2012" i="14"/>
  <c r="H842" i="14"/>
  <c r="H4300" i="14"/>
  <c r="H2372" i="14"/>
  <c r="C1565" i="14"/>
  <c r="B3956" i="14"/>
  <c r="C665" i="14"/>
  <c r="C755" i="14"/>
  <c r="C2105" i="14"/>
  <c r="C1835" i="14"/>
  <c r="C1745" i="14"/>
  <c r="C4390" i="14"/>
  <c r="C1295" i="14"/>
  <c r="B3782" i="14"/>
  <c r="B4130" i="14"/>
  <c r="B4826" i="14"/>
  <c r="B5087" i="14"/>
  <c r="C5086" i="14"/>
  <c r="C4738" i="14"/>
  <c r="C1385" i="14"/>
  <c r="B3695" i="14"/>
  <c r="C3955" i="14"/>
  <c r="C4042" i="14"/>
  <c r="B3521" i="14"/>
  <c r="B4478" i="14"/>
  <c r="B4217" i="14"/>
  <c r="C2555" i="14"/>
  <c r="B2484" i="14"/>
  <c r="C3781" i="14"/>
  <c r="B3260" i="14"/>
  <c r="B3347" i="14"/>
  <c r="C4651" i="14"/>
  <c r="C1925" i="14"/>
  <c r="C4564" i="14"/>
  <c r="C1475" i="14"/>
  <c r="B728" i="14"/>
  <c r="B664" i="14"/>
  <c r="B2577" i="14"/>
  <c r="B3869" i="14"/>
  <c r="C3433" i="14"/>
  <c r="C2195" i="14"/>
  <c r="C1655" i="14"/>
  <c r="B4043" i="14"/>
  <c r="C1025" i="14"/>
  <c r="C2015" i="14"/>
  <c r="C4129" i="14"/>
  <c r="B4739" i="14"/>
  <c r="C3346" i="14"/>
  <c r="C3259" i="14"/>
  <c r="C845" i="14"/>
  <c r="B3434" i="14"/>
  <c r="C2465" i="14"/>
  <c r="C935" i="14"/>
  <c r="C3607" i="14"/>
  <c r="B792" i="14"/>
  <c r="C4825" i="14"/>
  <c r="C3520" i="14"/>
  <c r="C2285" i="14"/>
  <c r="C1115" i="14"/>
  <c r="C3868" i="14"/>
  <c r="C4303" i="14"/>
  <c r="B4391" i="14"/>
  <c r="C4216" i="14"/>
  <c r="B4652" i="14"/>
  <c r="B4565" i="14"/>
  <c r="C4912" i="14"/>
  <c r="B4304" i="14"/>
  <c r="C4477" i="14"/>
  <c r="B3608" i="14"/>
  <c r="C2375" i="14"/>
  <c r="C1205" i="14"/>
  <c r="B5000" i="14"/>
  <c r="B4913" i="14"/>
  <c r="C3694" i="14"/>
  <c r="C4999" i="14"/>
  <c r="F4042" i="14"/>
  <c r="G4998" i="14"/>
  <c r="H5085" i="14" a="1"/>
  <c r="H1563" i="14" a="1"/>
  <c r="F4738" i="14"/>
  <c r="G2464" i="14"/>
  <c r="G4737" i="14"/>
  <c r="G1474" i="14"/>
  <c r="G3432" i="14"/>
  <c r="H4910" i="14" a="1"/>
  <c r="F4651" i="14"/>
  <c r="H3866" i="14" a="1"/>
  <c r="G2104" i="14"/>
  <c r="H933" i="14" a="1"/>
  <c r="G4302" i="14"/>
  <c r="H3257" i="14" a="1"/>
  <c r="G844" i="14"/>
  <c r="F2576" i="14"/>
  <c r="F4999" i="14"/>
  <c r="F4216" i="14"/>
  <c r="G1834" i="14"/>
  <c r="H3779" i="14" a="1"/>
  <c r="G1204" i="14"/>
  <c r="H4823" i="14" a="1"/>
  <c r="H4214" i="14" a="1"/>
  <c r="G1384" i="14"/>
  <c r="F4390" i="14"/>
  <c r="G3693" i="14"/>
  <c r="F4912" i="14"/>
  <c r="G664" i="14"/>
  <c r="G4476" i="14"/>
  <c r="G3954" i="14"/>
  <c r="G1294" i="14"/>
  <c r="H4301" i="14" a="1"/>
  <c r="H3344" i="14" a="1"/>
  <c r="H3518" i="14" a="1"/>
  <c r="H843" i="14" a="1"/>
  <c r="G2194" i="14"/>
  <c r="H663" i="14" a="1"/>
  <c r="G5086" i="14"/>
  <c r="G754" i="14"/>
  <c r="G3345" i="14"/>
  <c r="G2374" i="14"/>
  <c r="F3868" i="14"/>
  <c r="G4911" i="14"/>
  <c r="H3605" i="14" a="1"/>
  <c r="H3431" i="14" a="1"/>
  <c r="G1024" i="14"/>
  <c r="F4303" i="14"/>
  <c r="H1383" i="14" a="1"/>
  <c r="H4388" i="14" a="1"/>
  <c r="G1564" i="14"/>
  <c r="H1113" i="14" a="1"/>
  <c r="F3694" i="14"/>
  <c r="G2284" i="14"/>
  <c r="G4563" i="14"/>
  <c r="G4215" i="14"/>
  <c r="H2013" i="14" a="1"/>
  <c r="F4825" i="14"/>
  <c r="G1924" i="14"/>
  <c r="H2463" i="14" a="1"/>
  <c r="H1293" i="14" a="1"/>
  <c r="G4824" i="14"/>
  <c r="F792" i="14"/>
  <c r="H2283" i="14" a="1"/>
  <c r="F5087" i="14"/>
  <c r="F3433" i="14"/>
  <c r="H4736" i="14" a="1"/>
  <c r="F663" i="14"/>
  <c r="H2373" i="14" a="1"/>
  <c r="G3867" i="14"/>
  <c r="G1654" i="14"/>
  <c r="F2483" i="14"/>
  <c r="G4650" i="14"/>
  <c r="H2554" i="14" a="1"/>
  <c r="H1923" i="14" a="1"/>
  <c r="H4127" i="14" a="1"/>
  <c r="H1473" i="14" a="1"/>
  <c r="F3520" i="14"/>
  <c r="F3346" i="14"/>
  <c r="F4129" i="14"/>
  <c r="H2193" i="14" a="1"/>
  <c r="F727" i="14"/>
  <c r="G1744" i="14"/>
  <c r="H4040" i="14" a="1"/>
  <c r="H2103" i="14" a="1"/>
  <c r="H1653" i="14" a="1"/>
  <c r="G1114" i="14"/>
  <c r="H4997" i="14" a="1"/>
  <c r="F3259" i="14"/>
  <c r="F4564" i="14"/>
  <c r="G4389" i="14"/>
  <c r="G934" i="14"/>
  <c r="F3955" i="14"/>
  <c r="G3519" i="14"/>
  <c r="H1743" i="14" a="1"/>
  <c r="F3607" i="14"/>
  <c r="G2014" i="14"/>
  <c r="H3953" i="14" a="1"/>
  <c r="G4128" i="14"/>
  <c r="H1203" i="14" a="1"/>
  <c r="H753" i="14" a="1"/>
  <c r="G4041" i="14"/>
  <c r="G3258" i="14"/>
  <c r="G3780" i="14"/>
  <c r="H4562" i="14" a="1"/>
  <c r="F3781" i="14"/>
  <c r="F4477" i="14"/>
  <c r="H4475" i="14" a="1"/>
  <c r="H3692" i="14" a="1"/>
  <c r="H4649" i="14" a="1"/>
  <c r="G3606" i="14"/>
  <c r="H1023" i="14" a="1"/>
  <c r="G2555" i="14"/>
  <c r="H1833" i="14" a="1"/>
  <c r="H2103" i="14" l="1"/>
  <c r="H3344" i="14"/>
  <c r="H4214" i="14"/>
  <c r="H4649" i="14"/>
  <c r="H2193" i="14"/>
  <c r="H2463" i="14"/>
  <c r="H4475" i="14"/>
  <c r="H933" i="14"/>
  <c r="H1473" i="14"/>
  <c r="H4040" i="14"/>
  <c r="H4562" i="14"/>
  <c r="H3431" i="14"/>
  <c r="H3257" i="14"/>
  <c r="H5085" i="14"/>
  <c r="H753" i="14"/>
  <c r="H1833" i="14"/>
  <c r="H2373" i="14"/>
  <c r="H4127" i="14"/>
  <c r="H1923" i="14"/>
  <c r="H663" i="14"/>
  <c r="H1293" i="14"/>
  <c r="H1113" i="14"/>
  <c r="H843" i="14"/>
  <c r="H4388" i="14"/>
  <c r="H3866" i="14"/>
  <c r="H4736" i="14"/>
  <c r="H3953" i="14"/>
  <c r="H4997" i="14"/>
  <c r="H1563" i="14"/>
  <c r="H3605" i="14"/>
  <c r="H1653" i="14"/>
  <c r="H1203" i="14"/>
  <c r="H2013" i="14"/>
  <c r="H4910" i="14"/>
  <c r="H2283" i="14"/>
  <c r="H4823" i="14"/>
  <c r="H3692" i="14"/>
  <c r="H1743" i="14"/>
  <c r="H3779" i="14"/>
  <c r="H3518" i="14"/>
  <c r="H1383" i="14"/>
  <c r="H1023" i="14"/>
  <c r="H4301" i="14"/>
  <c r="H2554" i="14"/>
  <c r="C4130" i="14"/>
  <c r="B4218" i="14"/>
  <c r="B4131" i="14"/>
  <c r="C1296" i="14"/>
  <c r="C1656" i="14"/>
  <c r="B4479" i="14"/>
  <c r="C2376" i="14"/>
  <c r="C3695" i="14"/>
  <c r="C936" i="14"/>
  <c r="C3869" i="14"/>
  <c r="B3783" i="14"/>
  <c r="C1386" i="14"/>
  <c r="C2196" i="14"/>
  <c r="C4913" i="14"/>
  <c r="C3434" i="14"/>
  <c r="C3521" i="14"/>
  <c r="B5088" i="14"/>
  <c r="C4565" i="14"/>
  <c r="C3956" i="14"/>
  <c r="C2556" i="14"/>
  <c r="B3870" i="14"/>
  <c r="C4217" i="14"/>
  <c r="C1746" i="14"/>
  <c r="B2578" i="14"/>
  <c r="C4652" i="14"/>
  <c r="B4566" i="14"/>
  <c r="C3782" i="14"/>
  <c r="C2466" i="14"/>
  <c r="C5000" i="14"/>
  <c r="C2106" i="14"/>
  <c r="C2016" i="14"/>
  <c r="B2485" i="14"/>
  <c r="C4826" i="14"/>
  <c r="C1836" i="14"/>
  <c r="B4044" i="14"/>
  <c r="B4827" i="14"/>
  <c r="B3957" i="14"/>
  <c r="B5001" i="14"/>
  <c r="B3696" i="14"/>
  <c r="C2286" i="14"/>
  <c r="B665" i="14"/>
  <c r="B729" i="14"/>
  <c r="C4739" i="14"/>
  <c r="B3609" i="14"/>
  <c r="C1476" i="14"/>
  <c r="B4914" i="14"/>
  <c r="C4478" i="14"/>
  <c r="C846" i="14"/>
  <c r="C1116" i="14"/>
  <c r="B3435" i="14"/>
  <c r="B4740" i="14"/>
  <c r="C1566" i="14"/>
  <c r="B3261" i="14"/>
  <c r="B3348" i="14"/>
  <c r="C4043" i="14"/>
  <c r="B4392" i="14"/>
  <c r="C4304" i="14"/>
  <c r="C1206" i="14"/>
  <c r="B3522" i="14"/>
  <c r="B4305" i="14"/>
  <c r="C1926" i="14"/>
  <c r="C5087" i="14"/>
  <c r="B4653" i="14"/>
  <c r="C4391" i="14"/>
  <c r="C3608" i="14"/>
  <c r="C1026" i="14"/>
  <c r="C3347" i="14"/>
  <c r="C3260" i="14"/>
  <c r="B793" i="14"/>
  <c r="C756" i="14"/>
  <c r="C666" i="14"/>
  <c r="H2284" i="14" a="1"/>
  <c r="H3693" i="14" a="1"/>
  <c r="H844" i="14" a="1"/>
  <c r="G3259" i="14"/>
  <c r="G2105" i="14"/>
  <c r="H1024" i="14" a="1"/>
  <c r="G4912" i="14"/>
  <c r="F4739" i="14"/>
  <c r="H3954" i="14" a="1"/>
  <c r="H4824" i="14" a="1"/>
  <c r="G665" i="14"/>
  <c r="G4999" i="14"/>
  <c r="H3432" i="14" a="1"/>
  <c r="F2484" i="14"/>
  <c r="F3434" i="14"/>
  <c r="H2464" i="14" a="1"/>
  <c r="H664" i="14" a="1"/>
  <c r="G4477" i="14"/>
  <c r="H4389" i="14" a="1"/>
  <c r="F5088" i="14"/>
  <c r="F3782" i="14"/>
  <c r="G3433" i="14"/>
  <c r="F728" i="14"/>
  <c r="H1834" i="14" a="1"/>
  <c r="G1835" i="14"/>
  <c r="H3345" i="14" a="1"/>
  <c r="H1294" i="14" a="1"/>
  <c r="G2556" i="14"/>
  <c r="G3868" i="14"/>
  <c r="G4738" i="14"/>
  <c r="H4737" i="14" a="1"/>
  <c r="G2195" i="14"/>
  <c r="F5000" i="14"/>
  <c r="H4476" i="14" a="1"/>
  <c r="F4217" i="14"/>
  <c r="H4563" i="14" a="1"/>
  <c r="G3346" i="14"/>
  <c r="F4391" i="14"/>
  <c r="H1564" i="14" a="1"/>
  <c r="G2465" i="14"/>
  <c r="H1384" i="14" a="1"/>
  <c r="G2015" i="14"/>
  <c r="H2374" i="14" a="1"/>
  <c r="G1295" i="14"/>
  <c r="F4130" i="14"/>
  <c r="G3607" i="14"/>
  <c r="F3347" i="14"/>
  <c r="F3869" i="14"/>
  <c r="G1745" i="14"/>
  <c r="G3955" i="14"/>
  <c r="H4128" i="14" a="1"/>
  <c r="G845" i="14"/>
  <c r="G5087" i="14"/>
  <c r="H5086" i="14" a="1"/>
  <c r="G1205" i="14"/>
  <c r="F4913" i="14"/>
  <c r="G4042" i="14"/>
  <c r="G3694" i="14"/>
  <c r="H3780" i="14" a="1"/>
  <c r="H4998" i="14" a="1"/>
  <c r="G1655" i="14"/>
  <c r="H754" i="14" a="1"/>
  <c r="F4304" i="14"/>
  <c r="G1025" i="14"/>
  <c r="H1114" i="14" a="1"/>
  <c r="H934" i="14" a="1"/>
  <c r="H1204" i="14" a="1"/>
  <c r="G1475" i="14"/>
  <c r="H2555" i="14" a="1"/>
  <c r="F793" i="14"/>
  <c r="G2285" i="14"/>
  <c r="H3258" i="14" a="1"/>
  <c r="F2577" i="14"/>
  <c r="F3956" i="14"/>
  <c r="H1744" i="14" a="1"/>
  <c r="H1924" i="14" a="1"/>
  <c r="H4302" i="14" a="1"/>
  <c r="H4911" i="14" a="1"/>
  <c r="F3608" i="14"/>
  <c r="F4826" i="14"/>
  <c r="H4650" i="14" a="1"/>
  <c r="H2194" i="14" a="1"/>
  <c r="H1474" i="14" a="1"/>
  <c r="F3521" i="14"/>
  <c r="G4651" i="14"/>
  <c r="G1565" i="14"/>
  <c r="F3260" i="14"/>
  <c r="G2375" i="14"/>
  <c r="F4652" i="14"/>
  <c r="G4216" i="14"/>
  <c r="H1654" i="14" a="1"/>
  <c r="G1115" i="14"/>
  <c r="F4565" i="14"/>
  <c r="F4043" i="14"/>
  <c r="F4478" i="14"/>
  <c r="H2104" i="14" a="1"/>
  <c r="G1925" i="14"/>
  <c r="G4825" i="14"/>
  <c r="G4303" i="14"/>
  <c r="F664" i="14"/>
  <c r="G1385" i="14"/>
  <c r="G3520" i="14"/>
  <c r="H3606" i="14" a="1"/>
  <c r="H2014" i="14" a="1"/>
  <c r="H4215" i="14" a="1"/>
  <c r="G4129" i="14"/>
  <c r="F3695" i="14"/>
  <c r="G935" i="14"/>
  <c r="H3867" i="14" a="1"/>
  <c r="G4564" i="14"/>
  <c r="G4390" i="14"/>
  <c r="G3781" i="14"/>
  <c r="H3519" i="14" a="1"/>
  <c r="G755" i="14"/>
  <c r="H4041" i="14" a="1"/>
  <c r="H1654" i="14" l="1"/>
  <c r="H2194" i="14"/>
  <c r="H4650" i="14"/>
  <c r="H2014" i="14"/>
  <c r="H3258" i="14"/>
  <c r="H2284" i="14"/>
  <c r="H4302" i="14"/>
  <c r="H1384" i="14"/>
  <c r="H1474" i="14"/>
  <c r="H3345" i="14"/>
  <c r="H4215" i="14"/>
  <c r="H2104" i="14"/>
  <c r="H3780" i="14"/>
  <c r="H3693" i="14"/>
  <c r="H2555" i="14"/>
  <c r="H4476" i="14"/>
  <c r="H4389" i="14"/>
  <c r="H1744" i="14"/>
  <c r="H664" i="14"/>
  <c r="H4737" i="14"/>
  <c r="H844" i="14"/>
  <c r="H3867" i="14"/>
  <c r="H3432" i="14"/>
  <c r="H1294" i="14"/>
  <c r="H934" i="14"/>
  <c r="H1114" i="14"/>
  <c r="H754" i="14"/>
  <c r="H1834" i="14"/>
  <c r="H4128" i="14"/>
  <c r="H2374" i="14"/>
  <c r="H4041" i="14"/>
  <c r="H1924" i="14"/>
  <c r="H4824" i="14"/>
  <c r="H3954" i="14"/>
  <c r="H1024" i="14"/>
  <c r="H2464" i="14"/>
  <c r="H3606" i="14"/>
  <c r="H4563" i="14"/>
  <c r="H4911" i="14"/>
  <c r="H1204" i="14"/>
  <c r="H5086" i="14"/>
  <c r="H3519" i="14"/>
  <c r="H1564" i="14"/>
  <c r="H4998" i="14"/>
  <c r="C3435" i="14"/>
  <c r="B3610" i="14"/>
  <c r="C4131" i="14"/>
  <c r="B4828" i="14"/>
  <c r="C4566" i="14"/>
  <c r="B4654" i="14"/>
  <c r="C5001" i="14"/>
  <c r="C3957" i="14"/>
  <c r="B4567" i="14"/>
  <c r="B4741" i="14"/>
  <c r="B3523" i="14"/>
  <c r="B5002" i="14"/>
  <c r="B5089" i="14"/>
  <c r="C1927" i="14"/>
  <c r="C2197" i="14"/>
  <c r="C4305" i="14"/>
  <c r="C4653" i="14"/>
  <c r="B4306" i="14"/>
  <c r="C1117" i="14"/>
  <c r="C1297" i="14"/>
  <c r="B3436" i="14"/>
  <c r="C2287" i="14"/>
  <c r="C1747" i="14"/>
  <c r="C1207" i="14"/>
  <c r="B666" i="14"/>
  <c r="B730" i="14"/>
  <c r="C4914" i="14"/>
  <c r="C5088" i="14"/>
  <c r="C4740" i="14"/>
  <c r="B3958" i="14"/>
  <c r="C4218" i="14"/>
  <c r="C1567" i="14"/>
  <c r="C2377" i="14"/>
  <c r="C2017" i="14"/>
  <c r="C4392" i="14"/>
  <c r="C1657" i="14"/>
  <c r="C937" i="14"/>
  <c r="B4915" i="14"/>
  <c r="B2486" i="14"/>
  <c r="C2557" i="14"/>
  <c r="B2579" i="14"/>
  <c r="C3609" i="14"/>
  <c r="C1477" i="14"/>
  <c r="C1387" i="14"/>
  <c r="C757" i="14"/>
  <c r="C667" i="14"/>
  <c r="B794" i="14"/>
  <c r="C847" i="14"/>
  <c r="C1027" i="14"/>
  <c r="C3783" i="14"/>
  <c r="C4479" i="14"/>
  <c r="B4480" i="14"/>
  <c r="B3697" i="14"/>
  <c r="B3784" i="14"/>
  <c r="C3870" i="14"/>
  <c r="C4044" i="14"/>
  <c r="B3871" i="14"/>
  <c r="B3262" i="14"/>
  <c r="B3349" i="14"/>
  <c r="B4045" i="14"/>
  <c r="C3696" i="14"/>
  <c r="C3261" i="14"/>
  <c r="C3348" i="14"/>
  <c r="B4393" i="14"/>
  <c r="C4827" i="14"/>
  <c r="B4132" i="14"/>
  <c r="C2107" i="14"/>
  <c r="C1837" i="14"/>
  <c r="C3522" i="14"/>
  <c r="C2467" i="14"/>
  <c r="B4219" i="14"/>
  <c r="F3435" i="14"/>
  <c r="G2106" i="14"/>
  <c r="G1386" i="14"/>
  <c r="H1565" i="14" a="1"/>
  <c r="F3522" i="14"/>
  <c r="H1115" i="14" a="1"/>
  <c r="G1566" i="14"/>
  <c r="G2557" i="14"/>
  <c r="F5089" i="14"/>
  <c r="F4566" i="14"/>
  <c r="H4390" i="14" a="1"/>
  <c r="H4564" i="14" a="1"/>
  <c r="G1926" i="14"/>
  <c r="G4739" i="14"/>
  <c r="G4043" i="14"/>
  <c r="G1026" i="14"/>
  <c r="H3607" i="14" a="1"/>
  <c r="F4218" i="14"/>
  <c r="G756" i="14"/>
  <c r="F3957" i="14"/>
  <c r="G3434" i="14"/>
  <c r="H1835" i="14" a="1"/>
  <c r="G1206" i="14"/>
  <c r="F3609" i="14"/>
  <c r="F4305" i="14"/>
  <c r="G1746" i="14"/>
  <c r="G3347" i="14"/>
  <c r="G846" i="14"/>
  <c r="G3695" i="14"/>
  <c r="H3868" i="14" a="1"/>
  <c r="G3521" i="14"/>
  <c r="G3608" i="14"/>
  <c r="G3782" i="14"/>
  <c r="H665" i="14" a="1"/>
  <c r="H1295" i="14" a="1"/>
  <c r="H3259" i="14" a="1"/>
  <c r="H1925" i="14" a="1"/>
  <c r="G4217" i="14"/>
  <c r="G666" i="14"/>
  <c r="F4044" i="14"/>
  <c r="F665" i="14"/>
  <c r="F4131" i="14"/>
  <c r="G2286" i="14"/>
  <c r="F3261" i="14"/>
  <c r="H4999" i="14" a="1"/>
  <c r="H4129" i="14" a="1"/>
  <c r="H2015" i="14" a="1"/>
  <c r="G1296" i="14"/>
  <c r="G4478" i="14"/>
  <c r="H2105" i="14" a="1"/>
  <c r="H4042" i="14" a="1"/>
  <c r="F729" i="14"/>
  <c r="F2578" i="14"/>
  <c r="G3260" i="14"/>
  <c r="F2485" i="14"/>
  <c r="G2376" i="14"/>
  <c r="H3694" i="14" a="1"/>
  <c r="G4913" i="14"/>
  <c r="F4914" i="14"/>
  <c r="G1116" i="14"/>
  <c r="F3348" i="14"/>
  <c r="H1385" i="14" a="1"/>
  <c r="G4391" i="14"/>
  <c r="H2375" i="14" a="1"/>
  <c r="F3783" i="14"/>
  <c r="G2466" i="14"/>
  <c r="H935" i="14" a="1"/>
  <c r="H1745" i="14" a="1"/>
  <c r="H1475" i="14" a="1"/>
  <c r="H4216" i="14" a="1"/>
  <c r="G2196" i="14"/>
  <c r="F3696" i="14"/>
  <c r="G3869" i="14"/>
  <c r="F4653" i="14"/>
  <c r="F794" i="14"/>
  <c r="G1836" i="14"/>
  <c r="H4825" i="14" a="1"/>
  <c r="H3433" i="14" a="1"/>
  <c r="H5087" i="14" a="1"/>
  <c r="H1205" i="14" a="1"/>
  <c r="G4826" i="14"/>
  <c r="F3870" i="14"/>
  <c r="H4651" i="14" a="1"/>
  <c r="H3346" i="14" a="1"/>
  <c r="F4392" i="14"/>
  <c r="H2285" i="14" a="1"/>
  <c r="H3520" i="14" a="1"/>
  <c r="G5088" i="14"/>
  <c r="G1656" i="14"/>
  <c r="G4130" i="14"/>
  <c r="H2556" i="14" a="1"/>
  <c r="F4827" i="14"/>
  <c r="G3956" i="14"/>
  <c r="G4652" i="14"/>
  <c r="H3955" i="14" a="1"/>
  <c r="H1025" i="14" a="1"/>
  <c r="F4740" i="14"/>
  <c r="H2465" i="14" a="1"/>
  <c r="F5001" i="14"/>
  <c r="H3781" i="14" a="1"/>
  <c r="H4738" i="14" a="1"/>
  <c r="H4477" i="14" a="1"/>
  <c r="F4479" i="14"/>
  <c r="G1476" i="14"/>
  <c r="G5000" i="14"/>
  <c r="H755" i="14" a="1"/>
  <c r="G4304" i="14"/>
  <c r="G936" i="14"/>
  <c r="H4912" i="14" a="1"/>
  <c r="H845" i="14" a="1"/>
  <c r="H1655" i="14" a="1"/>
  <c r="H4303" i="14" a="1"/>
  <c r="G2016" i="14"/>
  <c r="H2195" i="14" a="1"/>
  <c r="G4565" i="14"/>
  <c r="H4216" i="14" l="1"/>
  <c r="H1745" i="14"/>
  <c r="H665" i="14"/>
  <c r="H4651" i="14"/>
  <c r="H1385" i="14"/>
  <c r="H845" i="14"/>
  <c r="H4042" i="14"/>
  <c r="H4912" i="14"/>
  <c r="H4564" i="14"/>
  <c r="H2556" i="14"/>
  <c r="H755" i="14"/>
  <c r="H3607" i="14"/>
  <c r="H1565" i="14"/>
  <c r="H4477" i="14"/>
  <c r="H4999" i="14"/>
  <c r="H4738" i="14"/>
  <c r="H3694" i="14"/>
  <c r="H3433" i="14"/>
  <c r="H3346" i="14"/>
  <c r="H2375" i="14"/>
  <c r="H1655" i="14"/>
  <c r="H3955" i="14"/>
  <c r="H1925" i="14"/>
  <c r="H3259" i="14"/>
  <c r="H2105" i="14"/>
  <c r="H1475" i="14"/>
  <c r="H2465" i="14"/>
  <c r="H1115" i="14"/>
  <c r="H4129" i="14"/>
  <c r="H3868" i="14"/>
  <c r="H3520" i="14"/>
  <c r="H2285" i="14"/>
  <c r="H3781" i="14"/>
  <c r="H4390" i="14"/>
  <c r="H4825" i="14"/>
  <c r="H4303" i="14"/>
  <c r="H1025" i="14"/>
  <c r="H1205" i="14"/>
  <c r="H1835" i="14"/>
  <c r="H5087" i="14"/>
  <c r="H1295" i="14"/>
  <c r="H2195" i="14"/>
  <c r="H935" i="14"/>
  <c r="H2015" i="14"/>
  <c r="C758" i="14"/>
  <c r="C668" i="14"/>
  <c r="B4046" i="14"/>
  <c r="B4481" i="14"/>
  <c r="B4133" i="14"/>
  <c r="C4567" i="14"/>
  <c r="B2487" i="14"/>
  <c r="C4306" i="14"/>
  <c r="B4394" i="14"/>
  <c r="C2018" i="14"/>
  <c r="B3698" i="14"/>
  <c r="C1928" i="14"/>
  <c r="B3437" i="14"/>
  <c r="C3958" i="14"/>
  <c r="B795" i="14"/>
  <c r="C2378" i="14"/>
  <c r="B4829" i="14"/>
  <c r="B4742" i="14"/>
  <c r="C3436" i="14"/>
  <c r="C3697" i="14"/>
  <c r="C3262" i="14"/>
  <c r="C3349" i="14"/>
  <c r="C848" i="14"/>
  <c r="B2580" i="14"/>
  <c r="C4828" i="14"/>
  <c r="C2558" i="14"/>
  <c r="B4220" i="14"/>
  <c r="B3959" i="14"/>
  <c r="B3785" i="14"/>
  <c r="C1298" i="14"/>
  <c r="C1388" i="14"/>
  <c r="C4393" i="14"/>
  <c r="B5090" i="14"/>
  <c r="C4045" i="14"/>
  <c r="B4916" i="14"/>
  <c r="B3872" i="14"/>
  <c r="C3523" i="14"/>
  <c r="C2198" i="14"/>
  <c r="C2468" i="14"/>
  <c r="C4915" i="14"/>
  <c r="C3784" i="14"/>
  <c r="B4568" i="14"/>
  <c r="C1478" i="14"/>
  <c r="C1748" i="14"/>
  <c r="C1658" i="14"/>
  <c r="C1208" i="14"/>
  <c r="C2288" i="14"/>
  <c r="B3611" i="14"/>
  <c r="C5089" i="14"/>
  <c r="B3263" i="14"/>
  <c r="B3350" i="14"/>
  <c r="C3871" i="14"/>
  <c r="B5003" i="14"/>
  <c r="C2108" i="14"/>
  <c r="B731" i="14"/>
  <c r="B667" i="14"/>
  <c r="B3524" i="14"/>
  <c r="C4741" i="14"/>
  <c r="C4654" i="14"/>
  <c r="B4307" i="14"/>
  <c r="B4655" i="14"/>
  <c r="C1118" i="14"/>
  <c r="C1028" i="14"/>
  <c r="C3610" i="14"/>
  <c r="C4132" i="14"/>
  <c r="C938" i="14"/>
  <c r="C1568" i="14"/>
  <c r="C4480" i="14"/>
  <c r="C5002" i="14"/>
  <c r="C1838" i="14"/>
  <c r="C4219" i="14"/>
  <c r="F2486" i="14"/>
  <c r="G3435" i="14"/>
  <c r="G4479" i="14"/>
  <c r="F2579" i="14"/>
  <c r="F3871" i="14"/>
  <c r="H2196" i="14" a="1"/>
  <c r="G3870" i="14"/>
  <c r="H756" i="14" a="1"/>
  <c r="G3261" i="14"/>
  <c r="H1026" i="14" a="1"/>
  <c r="F3436" i="14"/>
  <c r="H1116" i="14" a="1"/>
  <c r="G2558" i="14"/>
  <c r="H1296" i="14" a="1"/>
  <c r="G3348" i="14"/>
  <c r="G1117" i="14"/>
  <c r="F3349" i="14"/>
  <c r="G1027" i="14"/>
  <c r="G757" i="14"/>
  <c r="F4567" i="14"/>
  <c r="H3695" i="14" a="1"/>
  <c r="H1476" i="14" a="1"/>
  <c r="H2466" i="14" a="1"/>
  <c r="G667" i="14"/>
  <c r="G2197" i="14"/>
  <c r="H1746" i="14" a="1"/>
  <c r="G1747" i="14"/>
  <c r="F5002" i="14"/>
  <c r="H3521" i="14" a="1"/>
  <c r="H2016" i="14" a="1"/>
  <c r="H4391" i="14" a="1"/>
  <c r="H4565" i="14" a="1"/>
  <c r="F3523" i="14"/>
  <c r="G2377" i="14"/>
  <c r="G2107" i="14"/>
  <c r="H2106" i="14" a="1"/>
  <c r="H5000" i="14" a="1"/>
  <c r="G1387" i="14"/>
  <c r="H2376" i="14" a="1"/>
  <c r="G4740" i="14"/>
  <c r="F4132" i="14"/>
  <c r="G4914" i="14"/>
  <c r="H3956" i="14" a="1"/>
  <c r="F795" i="14"/>
  <c r="F4741" i="14"/>
  <c r="H4478" i="14" a="1"/>
  <c r="H1566" i="14" a="1"/>
  <c r="F3697" i="14"/>
  <c r="G2287" i="14"/>
  <c r="G3609" i="14"/>
  <c r="H4739" i="14" a="1"/>
  <c r="H4304" i="14" a="1"/>
  <c r="H1206" i="14" a="1"/>
  <c r="H5088" i="14" a="1"/>
  <c r="H3347" i="14" a="1"/>
  <c r="G1567" i="14"/>
  <c r="G4131" i="14"/>
  <c r="G5089" i="14"/>
  <c r="H846" i="14" a="1"/>
  <c r="F5090" i="14"/>
  <c r="G1477" i="14"/>
  <c r="H1926" i="14" a="1"/>
  <c r="H4913" i="14" a="1"/>
  <c r="H666" i="14" a="1"/>
  <c r="F4045" i="14"/>
  <c r="G4827" i="14"/>
  <c r="F4219" i="14"/>
  <c r="H3260" i="14" a="1"/>
  <c r="G3522" i="14"/>
  <c r="G1927" i="14"/>
  <c r="G4218" i="14"/>
  <c r="H4130" i="14" a="1"/>
  <c r="H1656" i="14" a="1"/>
  <c r="F3784" i="14"/>
  <c r="H4826" i="14" a="1"/>
  <c r="F3262" i="14"/>
  <c r="G1837" i="14"/>
  <c r="G2017" i="14"/>
  <c r="G1207" i="14"/>
  <c r="F4915" i="14"/>
  <c r="H3608" i="14" a="1"/>
  <c r="F730" i="14"/>
  <c r="H3434" i="14" a="1"/>
  <c r="H2557" i="14" a="1"/>
  <c r="G3783" i="14"/>
  <c r="F4828" i="14"/>
  <c r="H3869" i="14" a="1"/>
  <c r="F4306" i="14"/>
  <c r="G4305" i="14"/>
  <c r="G1657" i="14"/>
  <c r="H1836" i="14" a="1"/>
  <c r="F3958" i="14"/>
  <c r="F4480" i="14"/>
  <c r="G937" i="14"/>
  <c r="H2286" i="14" a="1"/>
  <c r="G4653" i="14"/>
  <c r="G4392" i="14"/>
  <c r="G5001" i="14"/>
  <c r="H4217" i="14" a="1"/>
  <c r="G2467" i="14"/>
  <c r="F666" i="14"/>
  <c r="F3610" i="14"/>
  <c r="H4652" i="14" a="1"/>
  <c r="G4566" i="14"/>
  <c r="G3696" i="14"/>
  <c r="F4654" i="14"/>
  <c r="H936" i="14" a="1"/>
  <c r="F4393" i="14"/>
  <c r="H3782" i="14" a="1"/>
  <c r="G1297" i="14"/>
  <c r="H1386" i="14" a="1"/>
  <c r="G847" i="14"/>
  <c r="G3957" i="14"/>
  <c r="H4043" i="14" a="1"/>
  <c r="G4044" i="14"/>
  <c r="H4043" i="14" l="1"/>
  <c r="H4913" i="14"/>
  <c r="H666" i="14"/>
  <c r="H1386" i="14"/>
  <c r="H5000" i="14"/>
  <c r="H1296" i="14"/>
  <c r="H3782" i="14"/>
  <c r="H2557" i="14"/>
  <c r="H936" i="14"/>
  <c r="H1746" i="14"/>
  <c r="H756" i="14"/>
  <c r="H3608" i="14"/>
  <c r="H2016" i="14"/>
  <c r="H4739" i="14"/>
  <c r="H3956" i="14"/>
  <c r="H3695" i="14"/>
  <c r="H4217" i="14"/>
  <c r="H4391" i="14"/>
  <c r="H1206" i="14"/>
  <c r="H1656" i="14"/>
  <c r="H2466" i="14"/>
  <c r="H4652" i="14"/>
  <c r="H2106" i="14"/>
  <c r="H3260" i="14"/>
  <c r="H1836" i="14"/>
  <c r="H1026" i="14"/>
  <c r="H4478" i="14"/>
  <c r="H1926" i="14"/>
  <c r="H4130" i="14"/>
  <c r="H2286" i="14"/>
  <c r="H3521" i="14"/>
  <c r="H1116" i="14"/>
  <c r="H3434" i="14"/>
  <c r="H5088" i="14"/>
  <c r="H2376" i="14"/>
  <c r="H2196" i="14"/>
  <c r="H846" i="14"/>
  <c r="H3869" i="14"/>
  <c r="H1476" i="14"/>
  <c r="H3347" i="14"/>
  <c r="H4826" i="14"/>
  <c r="H1566" i="14"/>
  <c r="H4565" i="14"/>
  <c r="H4304" i="14"/>
  <c r="B4395" i="14"/>
  <c r="C2379" i="14"/>
  <c r="B5004" i="14"/>
  <c r="C2289" i="14"/>
  <c r="C1389" i="14"/>
  <c r="C3437" i="14"/>
  <c r="C2109" i="14"/>
  <c r="C4133" i="14"/>
  <c r="C3350" i="14"/>
  <c r="C3263" i="14"/>
  <c r="B3525" i="14"/>
  <c r="B4482" i="14"/>
  <c r="C1929" i="14"/>
  <c r="C1029" i="14"/>
  <c r="C1209" i="14"/>
  <c r="C2199" i="14"/>
  <c r="C3872" i="14"/>
  <c r="C3611" i="14"/>
  <c r="B4917" i="14"/>
  <c r="B4221" i="14"/>
  <c r="C4568" i="14"/>
  <c r="C1479" i="14"/>
  <c r="B4308" i="14"/>
  <c r="B3786" i="14"/>
  <c r="C939" i="14"/>
  <c r="B4830" i="14"/>
  <c r="C4046" i="14"/>
  <c r="C849" i="14"/>
  <c r="C4307" i="14"/>
  <c r="C1659" i="14"/>
  <c r="C4742" i="14"/>
  <c r="B3351" i="14"/>
  <c r="B3264" i="14"/>
  <c r="B4656" i="14"/>
  <c r="B4569" i="14"/>
  <c r="B732" i="14"/>
  <c r="B668" i="14"/>
  <c r="B2488" i="14"/>
  <c r="B4134" i="14"/>
  <c r="C3698" i="14"/>
  <c r="B796" i="14"/>
  <c r="C1569" i="14"/>
  <c r="C2559" i="14"/>
  <c r="C4655" i="14"/>
  <c r="C1299" i="14"/>
  <c r="C4829" i="14"/>
  <c r="C1749" i="14"/>
  <c r="B3873" i="14"/>
  <c r="C4916" i="14"/>
  <c r="C3785" i="14"/>
  <c r="C4394" i="14"/>
  <c r="B3612" i="14"/>
  <c r="B5091" i="14"/>
  <c r="C5003" i="14"/>
  <c r="B3960" i="14"/>
  <c r="C4481" i="14"/>
  <c r="C2469" i="14"/>
  <c r="C2019" i="14"/>
  <c r="C759" i="14"/>
  <c r="C669" i="14"/>
  <c r="C1119" i="14"/>
  <c r="B3438" i="14"/>
  <c r="C5090" i="14"/>
  <c r="C4220" i="14"/>
  <c r="B4743" i="14"/>
  <c r="C3959" i="14"/>
  <c r="B3699" i="14"/>
  <c r="C1839" i="14"/>
  <c r="B4047" i="14"/>
  <c r="B2581" i="14"/>
  <c r="C3524" i="14"/>
  <c r="F4829" i="14"/>
  <c r="G4219" i="14"/>
  <c r="H1297" i="14" a="1"/>
  <c r="F2487" i="14"/>
  <c r="H4566" i="14" a="1"/>
  <c r="F5003" i="14"/>
  <c r="G3871" i="14"/>
  <c r="H2017" i="14" a="1"/>
  <c r="F4481" i="14"/>
  <c r="G2108" i="14"/>
  <c r="G2559" i="14"/>
  <c r="H1657" i="14" a="1"/>
  <c r="F4133" i="14"/>
  <c r="G758" i="14"/>
  <c r="G3610" i="14"/>
  <c r="H2197" i="14" a="1"/>
  <c r="G3697" i="14"/>
  <c r="F667" i="14"/>
  <c r="H4131" i="14" a="1"/>
  <c r="H5001" i="14" a="1"/>
  <c r="G4045" i="14"/>
  <c r="G2378" i="14"/>
  <c r="H1927" i="14" a="1"/>
  <c r="G4654" i="14"/>
  <c r="G1568" i="14"/>
  <c r="F4568" i="14"/>
  <c r="H4218" i="14" a="1"/>
  <c r="G1118" i="14"/>
  <c r="G1928" i="14"/>
  <c r="G3523" i="14"/>
  <c r="G2018" i="14"/>
  <c r="F3611" i="14"/>
  <c r="F2580" i="14"/>
  <c r="F731" i="14"/>
  <c r="G4567" i="14"/>
  <c r="F3524" i="14"/>
  <c r="F796" i="14"/>
  <c r="H1567" i="14" a="1"/>
  <c r="H1747" i="14" a="1"/>
  <c r="F4394" i="14"/>
  <c r="H4392" i="14" a="1"/>
  <c r="G3784" i="14"/>
  <c r="G4828" i="14"/>
  <c r="G1388" i="14"/>
  <c r="H4479" i="14" a="1"/>
  <c r="F4655" i="14"/>
  <c r="H3696" i="14" a="1"/>
  <c r="H4044" i="14" a="1"/>
  <c r="H757" i="14" a="1"/>
  <c r="F5091" i="14"/>
  <c r="H3870" i="14" a="1"/>
  <c r="H4914" i="14" a="1"/>
  <c r="G4741" i="14"/>
  <c r="F4742" i="14"/>
  <c r="G1208" i="14"/>
  <c r="F3350" i="14"/>
  <c r="H667" i="14" a="1"/>
  <c r="G3436" i="14"/>
  <c r="G1298" i="14"/>
  <c r="G2468" i="14"/>
  <c r="H3522" i="14" a="1"/>
  <c r="H1477" i="14" a="1"/>
  <c r="H4653" i="14" a="1"/>
  <c r="F4046" i="14"/>
  <c r="G4393" i="14"/>
  <c r="H4740" i="14" a="1"/>
  <c r="G668" i="14"/>
  <c r="H3348" i="14" a="1"/>
  <c r="G2198" i="14"/>
  <c r="H847" i="14" a="1"/>
  <c r="G4915" i="14"/>
  <c r="G1658" i="14"/>
  <c r="F3263" i="14"/>
  <c r="F4220" i="14"/>
  <c r="H4827" i="14" a="1"/>
  <c r="H4305" i="14" a="1"/>
  <c r="H1207" i="14" a="1"/>
  <c r="H2558" i="14" a="1"/>
  <c r="G3958" i="14"/>
  <c r="H2107" i="14" a="1"/>
  <c r="G1028" i="14"/>
  <c r="H3609" i="14" a="1"/>
  <c r="G1478" i="14"/>
  <c r="H1027" i="14" a="1"/>
  <c r="H3957" i="14" a="1"/>
  <c r="G5002" i="14"/>
  <c r="H1837" i="14" a="1"/>
  <c r="G4306" i="14"/>
  <c r="F4307" i="14"/>
  <c r="H3261" i="14" a="1"/>
  <c r="F3437" i="14"/>
  <c r="H2287" i="14" a="1"/>
  <c r="G938" i="14"/>
  <c r="F3698" i="14"/>
  <c r="G3349" i="14"/>
  <c r="H937" i="14" a="1"/>
  <c r="H5089" i="14" a="1"/>
  <c r="G3262" i="14"/>
  <c r="G4480" i="14"/>
  <c r="G2288" i="14"/>
  <c r="G5090" i="14"/>
  <c r="G848" i="14"/>
  <c r="G1838" i="14"/>
  <c r="F3959" i="14"/>
  <c r="F3872" i="14"/>
  <c r="G1748" i="14"/>
  <c r="G4132" i="14"/>
  <c r="H1387" i="14" a="1"/>
  <c r="H2467" i="14" a="1"/>
  <c r="H3783" i="14" a="1"/>
  <c r="H3435" i="14" a="1"/>
  <c r="H2377" i="14" a="1"/>
  <c r="F3785" i="14"/>
  <c r="H1117" i="14" a="1"/>
  <c r="F4916" i="14"/>
  <c r="H4305" i="14" l="1"/>
  <c r="H1027" i="14"/>
  <c r="H4740" i="14"/>
  <c r="H4827" i="14"/>
  <c r="H1747" i="14"/>
  <c r="H3870" i="14"/>
  <c r="H2467" i="14"/>
  <c r="H2558" i="14"/>
  <c r="H757" i="14"/>
  <c r="H4131" i="14"/>
  <c r="H2017" i="14"/>
  <c r="H4653" i="14"/>
  <c r="H1927" i="14"/>
  <c r="H4914" i="14"/>
  <c r="H4479" i="14"/>
  <c r="H847" i="14"/>
  <c r="H667" i="14"/>
  <c r="H4218" i="14"/>
  <c r="H2377" i="14"/>
  <c r="H4566" i="14"/>
  <c r="H3609" i="14"/>
  <c r="H3522" i="14"/>
  <c r="H1567" i="14"/>
  <c r="H1657" i="14"/>
  <c r="H2287" i="14"/>
  <c r="H5089" i="14"/>
  <c r="H4044" i="14"/>
  <c r="H3435" i="14"/>
  <c r="H2197" i="14"/>
  <c r="H1297" i="14"/>
  <c r="H1837" i="14"/>
  <c r="H1117" i="14"/>
  <c r="H3957" i="14"/>
  <c r="H1207" i="14"/>
  <c r="H4392" i="14"/>
  <c r="H3696" i="14"/>
  <c r="H1477" i="14"/>
  <c r="H3783" i="14"/>
  <c r="H2107" i="14"/>
  <c r="H1387" i="14"/>
  <c r="H5001" i="14"/>
  <c r="H3348" i="14"/>
  <c r="H3261" i="14"/>
  <c r="H937" i="14"/>
  <c r="B3700" i="14"/>
  <c r="C4743" i="14"/>
  <c r="C4830" i="14"/>
  <c r="B5005" i="14"/>
  <c r="C3525" i="14"/>
  <c r="C4482" i="14"/>
  <c r="C1570" i="14"/>
  <c r="C1120" i="14"/>
  <c r="C3438" i="14"/>
  <c r="C4047" i="14"/>
  <c r="B3526" i="14"/>
  <c r="C2110" i="14"/>
  <c r="C5091" i="14"/>
  <c r="C1660" i="14"/>
  <c r="B2489" i="14"/>
  <c r="C4395" i="14"/>
  <c r="C4656" i="14"/>
  <c r="C3960" i="14"/>
  <c r="C2020" i="14"/>
  <c r="B4396" i="14"/>
  <c r="C1300" i="14"/>
  <c r="C4308" i="14"/>
  <c r="C2470" i="14"/>
  <c r="C3612" i="14"/>
  <c r="C850" i="14"/>
  <c r="B4222" i="14"/>
  <c r="C4917" i="14"/>
  <c r="B4744" i="14"/>
  <c r="C1030" i="14"/>
  <c r="B2582" i="14"/>
  <c r="C2560" i="14"/>
  <c r="C5004" i="14"/>
  <c r="C1390" i="14"/>
  <c r="B733" i="14"/>
  <c r="B669" i="14"/>
  <c r="B3352" i="14"/>
  <c r="B3265" i="14"/>
  <c r="B4570" i="14"/>
  <c r="C4221" i="14"/>
  <c r="C2380" i="14"/>
  <c r="C1930" i="14"/>
  <c r="C760" i="14"/>
  <c r="C670" i="14"/>
  <c r="B3961" i="14"/>
  <c r="B4048" i="14"/>
  <c r="C1840" i="14"/>
  <c r="C3264" i="14"/>
  <c r="C3351" i="14"/>
  <c r="C1480" i="14"/>
  <c r="B3787" i="14"/>
  <c r="B4483" i="14"/>
  <c r="B797" i="14"/>
  <c r="B3439" i="14"/>
  <c r="C940" i="14"/>
  <c r="B3874" i="14"/>
  <c r="B4309" i="14"/>
  <c r="C2290" i="14"/>
  <c r="C4134" i="14"/>
  <c r="B4657" i="14"/>
  <c r="C3699" i="14"/>
  <c r="C1750" i="14"/>
  <c r="B4918" i="14"/>
  <c r="C3873" i="14"/>
  <c r="B4135" i="14"/>
  <c r="B4831" i="14"/>
  <c r="C1210" i="14"/>
  <c r="C4569" i="14"/>
  <c r="C3786" i="14"/>
  <c r="B3613" i="14"/>
  <c r="C2200" i="14"/>
  <c r="B5092" i="14"/>
  <c r="G4829" i="14"/>
  <c r="G4220" i="14"/>
  <c r="F4308" i="14"/>
  <c r="F3612" i="14"/>
  <c r="H5090" i="14" a="1"/>
  <c r="F4047" i="14"/>
  <c r="G2469" i="14"/>
  <c r="G2289" i="14"/>
  <c r="H3784" i="14" a="1"/>
  <c r="H4219" i="14" a="1"/>
  <c r="G3872" i="14"/>
  <c r="G3350" i="14"/>
  <c r="G4568" i="14"/>
  <c r="H4567" i="14" a="1"/>
  <c r="G4742" i="14"/>
  <c r="H3349" i="14" a="1"/>
  <c r="G1299" i="14"/>
  <c r="G1929" i="14"/>
  <c r="G4916" i="14"/>
  <c r="H3697" i="14" a="1"/>
  <c r="G4046" i="14"/>
  <c r="H5002" i="14" a="1"/>
  <c r="H3436" i="14" a="1"/>
  <c r="F3438" i="14"/>
  <c r="H2378" i="14" a="1"/>
  <c r="G4655" i="14"/>
  <c r="H4045" i="14" a="1"/>
  <c r="H1568" i="14" a="1"/>
  <c r="G759" i="14"/>
  <c r="F4743" i="14"/>
  <c r="H1748" i="14" a="1"/>
  <c r="G1209" i="14"/>
  <c r="G5003" i="14"/>
  <c r="G1839" i="14"/>
  <c r="H2468" i="14" a="1"/>
  <c r="G939" i="14"/>
  <c r="G849" i="14"/>
  <c r="G1119" i="14"/>
  <c r="H4654" i="14" a="1"/>
  <c r="F3786" i="14"/>
  <c r="F4656" i="14"/>
  <c r="G4481" i="14"/>
  <c r="H2018" i="14" a="1"/>
  <c r="H1298" i="14" a="1"/>
  <c r="F3699" i="14"/>
  <c r="G1029" i="14"/>
  <c r="H1208" i="14" a="1"/>
  <c r="F4395" i="14"/>
  <c r="H2198" i="14" a="1"/>
  <c r="G3959" i="14"/>
  <c r="G3263" i="14"/>
  <c r="F4134" i="14"/>
  <c r="H938" i="14" a="1"/>
  <c r="H4480" i="14" a="1"/>
  <c r="H3262" i="14" a="1"/>
  <c r="G1659" i="14"/>
  <c r="F3264" i="14"/>
  <c r="H758" i="14" a="1"/>
  <c r="G4133" i="14"/>
  <c r="F4221" i="14"/>
  <c r="F668" i="14"/>
  <c r="G3611" i="14"/>
  <c r="F2488" i="14"/>
  <c r="G3437" i="14"/>
  <c r="F3873" i="14"/>
  <c r="H1478" i="14" a="1"/>
  <c r="H1388" i="14" a="1"/>
  <c r="H4132" i="14" a="1"/>
  <c r="F3960" i="14"/>
  <c r="H3871" i="14" a="1"/>
  <c r="G2560" i="14"/>
  <c r="G4394" i="14"/>
  <c r="F4830" i="14"/>
  <c r="H1658" i="14" a="1"/>
  <c r="H1118" i="14" a="1"/>
  <c r="H3523" i="14" a="1"/>
  <c r="H4828" i="14" a="1"/>
  <c r="G2199" i="14"/>
  <c r="G1479" i="14"/>
  <c r="G4307" i="14"/>
  <c r="H668" i="14" a="1"/>
  <c r="G3524" i="14"/>
  <c r="G2379" i="14"/>
  <c r="H3958" i="14" a="1"/>
  <c r="G2019" i="14"/>
  <c r="H4741" i="14" a="1"/>
  <c r="H4393" i="14" a="1"/>
  <c r="F3525" i="14"/>
  <c r="H848" i="14" a="1"/>
  <c r="G3785" i="14"/>
  <c r="H4306" i="14" a="1"/>
  <c r="G5091" i="14"/>
  <c r="H2288" i="14" a="1"/>
  <c r="H3610" i="14" a="1"/>
  <c r="F5092" i="14"/>
  <c r="H1928" i="14" a="1"/>
  <c r="G2109" i="14"/>
  <c r="H4915" i="14" a="1"/>
  <c r="F2581" i="14"/>
  <c r="F4569" i="14"/>
  <c r="F732" i="14"/>
  <c r="H2559" i="14" a="1"/>
  <c r="G1569" i="14"/>
  <c r="F5004" i="14"/>
  <c r="G1749" i="14"/>
  <c r="H1028" i="14" a="1"/>
  <c r="H1838" i="14" a="1"/>
  <c r="F4482" i="14"/>
  <c r="G669" i="14"/>
  <c r="G1389" i="14"/>
  <c r="G3698" i="14"/>
  <c r="F3351" i="14"/>
  <c r="F4917" i="14"/>
  <c r="H2108" i="14" a="1"/>
  <c r="H1028" i="14" l="1"/>
  <c r="H2198" i="14"/>
  <c r="H1118" i="14"/>
  <c r="H4480" i="14"/>
  <c r="H5090" i="14"/>
  <c r="H3610" i="14"/>
  <c r="H1838" i="14"/>
  <c r="H1568" i="14"/>
  <c r="H2018" i="14"/>
  <c r="H4915" i="14"/>
  <c r="H668" i="14"/>
  <c r="H1208" i="14"/>
  <c r="H938" i="14"/>
  <c r="H4393" i="14"/>
  <c r="H1298" i="14"/>
  <c r="H4828" i="14"/>
  <c r="H2468" i="14"/>
  <c r="H4306" i="14"/>
  <c r="H3784" i="14"/>
  <c r="H1928" i="14"/>
  <c r="H2559" i="14"/>
  <c r="H758" i="14"/>
  <c r="H2288" i="14"/>
  <c r="H3871" i="14"/>
  <c r="H4045" i="14"/>
  <c r="H3958" i="14"/>
  <c r="H1478" i="14"/>
  <c r="H848" i="14"/>
  <c r="H4654" i="14"/>
  <c r="H3436" i="14"/>
  <c r="H4741" i="14"/>
  <c r="H4567" i="14"/>
  <c r="H3523" i="14"/>
  <c r="H3697" i="14"/>
  <c r="H4219" i="14"/>
  <c r="H2378" i="14"/>
  <c r="H1748" i="14"/>
  <c r="H3349" i="14"/>
  <c r="H5002" i="14"/>
  <c r="H2108" i="14"/>
  <c r="H4132" i="14"/>
  <c r="H1388" i="14"/>
  <c r="H3262" i="14"/>
  <c r="H1658" i="14"/>
  <c r="B4745" i="14"/>
  <c r="C1121" i="14"/>
  <c r="C1391" i="14"/>
  <c r="C4657" i="14"/>
  <c r="C1931" i="14"/>
  <c r="C3874" i="14"/>
  <c r="B4223" i="14"/>
  <c r="B862" i="14"/>
  <c r="C3439" i="14"/>
  <c r="B4049" i="14"/>
  <c r="C4309" i="14"/>
  <c r="B734" i="14"/>
  <c r="B670" i="14"/>
  <c r="B2583" i="14"/>
  <c r="B4310" i="14"/>
  <c r="C1751" i="14"/>
  <c r="C3787" i="14"/>
  <c r="B4397" i="14"/>
  <c r="C671" i="14"/>
  <c r="C761" i="14"/>
  <c r="B798" i="14"/>
  <c r="C4396" i="14"/>
  <c r="C4048" i="14"/>
  <c r="C4135" i="14"/>
  <c r="C4570" i="14"/>
  <c r="C4831" i="14"/>
  <c r="C3961" i="14"/>
  <c r="B4658" i="14"/>
  <c r="C941" i="14"/>
  <c r="B4571" i="14"/>
  <c r="C1301" i="14"/>
  <c r="C1031" i="14"/>
  <c r="B5093" i="14"/>
  <c r="C2291" i="14"/>
  <c r="B5006" i="14"/>
  <c r="C4222" i="14"/>
  <c r="B3875" i="14"/>
  <c r="B4136" i="14"/>
  <c r="C2021" i="14"/>
  <c r="B3353" i="14"/>
  <c r="B3266" i="14"/>
  <c r="C5092" i="14"/>
  <c r="B4832" i="14"/>
  <c r="C3700" i="14"/>
  <c r="B4484" i="14"/>
  <c r="C1211" i="14"/>
  <c r="C3352" i="14"/>
  <c r="C3265" i="14"/>
  <c r="C4483" i="14"/>
  <c r="C1841" i="14"/>
  <c r="C1571" i="14"/>
  <c r="C2471" i="14"/>
  <c r="B3440" i="14"/>
  <c r="C5005" i="14"/>
  <c r="B2490" i="14"/>
  <c r="C3526" i="14"/>
  <c r="C3613" i="14"/>
  <c r="B3962" i="14"/>
  <c r="C851" i="14"/>
  <c r="C1481" i="14"/>
  <c r="C4744" i="14"/>
  <c r="B3788" i="14"/>
  <c r="C2201" i="14"/>
  <c r="B3701" i="14"/>
  <c r="B4919" i="14"/>
  <c r="C2381" i="14"/>
  <c r="B3527" i="14"/>
  <c r="C2561" i="14"/>
  <c r="C2111" i="14"/>
  <c r="B3614" i="14"/>
  <c r="C1661" i="14"/>
  <c r="C4918" i="14"/>
  <c r="F4135" i="14"/>
  <c r="H4046" i="14" a="1"/>
  <c r="G3351" i="14"/>
  <c r="G1660" i="14"/>
  <c r="H5091" i="14" a="1"/>
  <c r="G760" i="14"/>
  <c r="F3526" i="14"/>
  <c r="H2469" i="14" a="1"/>
  <c r="F4396" i="14"/>
  <c r="F3613" i="14"/>
  <c r="G2020" i="14"/>
  <c r="H3524" i="14" a="1"/>
  <c r="F3352" i="14"/>
  <c r="G4743" i="14"/>
  <c r="F4048" i="14"/>
  <c r="H4394" i="14" a="1"/>
  <c r="H3263" i="14" a="1"/>
  <c r="H2379" i="14" a="1"/>
  <c r="H4307" i="14" a="1"/>
  <c r="F862" i="14"/>
  <c r="G850" i="14"/>
  <c r="H4655" i="14" a="1"/>
  <c r="G2290" i="14"/>
  <c r="F2582" i="14"/>
  <c r="G4395" i="14"/>
  <c r="H939" i="14" a="1"/>
  <c r="H4742" i="14" a="1"/>
  <c r="G1120" i="14"/>
  <c r="G5004" i="14"/>
  <c r="H3350" i="14" a="1"/>
  <c r="G2380" i="14"/>
  <c r="H2289" i="14" a="1"/>
  <c r="H1929" i="14" a="1"/>
  <c r="G4830" i="14"/>
  <c r="G5092" i="14"/>
  <c r="F4744" i="14"/>
  <c r="F4831" i="14"/>
  <c r="F4222" i="14"/>
  <c r="G4917" i="14"/>
  <c r="F4918" i="14"/>
  <c r="G3873" i="14"/>
  <c r="H4133" i="14" a="1"/>
  <c r="F4309" i="14"/>
  <c r="G3699" i="14"/>
  <c r="H1749" i="14" a="1"/>
  <c r="G4221" i="14"/>
  <c r="H2560" i="14" a="1"/>
  <c r="H3872" i="14" a="1"/>
  <c r="H1659" i="14" a="1"/>
  <c r="F5093" i="14"/>
  <c r="G2470" i="14"/>
  <c r="H1569" i="14" a="1"/>
  <c r="G1570" i="14"/>
  <c r="G1480" i="14"/>
  <c r="H4916" i="14" a="1"/>
  <c r="G3438" i="14"/>
  <c r="G3264" i="14"/>
  <c r="G1390" i="14"/>
  <c r="F3439" i="14"/>
  <c r="G1300" i="14"/>
  <c r="H1209" i="14" a="1"/>
  <c r="H1119" i="14" a="1"/>
  <c r="G4482" i="14"/>
  <c r="H759" i="14" a="1"/>
  <c r="G4569" i="14"/>
  <c r="G1210" i="14"/>
  <c r="H3437" i="14" a="1"/>
  <c r="F733" i="14"/>
  <c r="F4657" i="14"/>
  <c r="G3960" i="14"/>
  <c r="H2019" i="14" a="1"/>
  <c r="F669" i="14"/>
  <c r="G4656" i="14"/>
  <c r="H849" i="14" a="1"/>
  <c r="F4483" i="14"/>
  <c r="F3700" i="14"/>
  <c r="G3525" i="14"/>
  <c r="H669" i="14" a="1"/>
  <c r="G4134" i="14"/>
  <c r="H1479" i="14" a="1"/>
  <c r="G2561" i="14"/>
  <c r="H4829" i="14" a="1"/>
  <c r="G3612" i="14"/>
  <c r="G940" i="14"/>
  <c r="H3959" i="14" a="1"/>
  <c r="F3874" i="14"/>
  <c r="G1930" i="14"/>
  <c r="H3785" i="14" a="1"/>
  <c r="H2109" i="14" a="1"/>
  <c r="F3961" i="14"/>
  <c r="G2110" i="14"/>
  <c r="G4047" i="14"/>
  <c r="H1299" i="14" a="1"/>
  <c r="H3698" i="14" a="1"/>
  <c r="H2199" i="14" a="1"/>
  <c r="H1389" i="14" a="1"/>
  <c r="G670" i="14"/>
  <c r="G1030" i="14"/>
  <c r="H1029" i="14" a="1"/>
  <c r="H4568" i="14" a="1"/>
  <c r="G1840" i="14"/>
  <c r="G3786" i="14"/>
  <c r="F4570" i="14"/>
  <c r="F5005" i="14"/>
  <c r="F3787" i="14"/>
  <c r="F797" i="14"/>
  <c r="H4481" i="14" a="1"/>
  <c r="F2489" i="14"/>
  <c r="G1750" i="14"/>
  <c r="G2200" i="14"/>
  <c r="F3265" i="14"/>
  <c r="H5003" i="14" a="1"/>
  <c r="G4308" i="14"/>
  <c r="H3611" i="14" a="1"/>
  <c r="H4220" i="14" a="1"/>
  <c r="H1839" i="14" a="1"/>
  <c r="H4568" i="14" l="1"/>
  <c r="H4220" i="14"/>
  <c r="H3611" i="14"/>
  <c r="H2289" i="14"/>
  <c r="H3263" i="14"/>
  <c r="H1389" i="14"/>
  <c r="H3350" i="14"/>
  <c r="H1839" i="14"/>
  <c r="H3698" i="14"/>
  <c r="H4481" i="14"/>
  <c r="H1659" i="14"/>
  <c r="H2379" i="14"/>
  <c r="H759" i="14"/>
  <c r="H2109" i="14"/>
  <c r="H4655" i="14"/>
  <c r="H1569" i="14"/>
  <c r="H4742" i="14"/>
  <c r="H4133" i="14"/>
  <c r="H1029" i="14"/>
  <c r="H3437" i="14"/>
  <c r="H5091" i="14"/>
  <c r="H4829" i="14"/>
  <c r="H849" i="14"/>
  <c r="H1749" i="14"/>
  <c r="H1479" i="14"/>
  <c r="H1299" i="14"/>
  <c r="H1929" i="14"/>
  <c r="H2469" i="14"/>
  <c r="H5003" i="14"/>
  <c r="H4394" i="14"/>
  <c r="H1209" i="14"/>
  <c r="H2199" i="14"/>
  <c r="H2019" i="14"/>
  <c r="H939" i="14"/>
  <c r="H3959" i="14"/>
  <c r="H4916" i="14"/>
  <c r="H2560" i="14"/>
  <c r="H1119" i="14"/>
  <c r="H4046" i="14"/>
  <c r="H3785" i="14"/>
  <c r="H3524" i="14"/>
  <c r="H4307" i="14"/>
  <c r="H669" i="14"/>
  <c r="H3872" i="14"/>
  <c r="B5094" i="14"/>
  <c r="C4049" i="14"/>
  <c r="C1572" i="14"/>
  <c r="C3962" i="14"/>
  <c r="C942" i="14"/>
  <c r="B4485" i="14"/>
  <c r="B3615" i="14"/>
  <c r="B4659" i="14"/>
  <c r="C4919" i="14"/>
  <c r="C4484" i="14"/>
  <c r="C2022" i="14"/>
  <c r="C2472" i="14"/>
  <c r="B4050" i="14"/>
  <c r="B3963" i="14"/>
  <c r="C1032" i="14"/>
  <c r="C4658" i="14"/>
  <c r="C3875" i="14"/>
  <c r="B735" i="14"/>
  <c r="B671" i="14"/>
  <c r="C1212" i="14"/>
  <c r="B2491" i="14"/>
  <c r="C3440" i="14"/>
  <c r="B4224" i="14"/>
  <c r="C3527" i="14"/>
  <c r="C1662" i="14"/>
  <c r="C1302" i="14"/>
  <c r="C2382" i="14"/>
  <c r="B3876" i="14"/>
  <c r="C5093" i="14"/>
  <c r="C1932" i="14"/>
  <c r="C3614" i="14"/>
  <c r="C3788" i="14"/>
  <c r="C2112" i="14"/>
  <c r="C1392" i="14"/>
  <c r="C672" i="14"/>
  <c r="C762" i="14"/>
  <c r="B4137" i="14"/>
  <c r="C5006" i="14"/>
  <c r="B3789" i="14"/>
  <c r="C2562" i="14"/>
  <c r="C3353" i="14"/>
  <c r="C3266" i="14"/>
  <c r="B4920" i="14"/>
  <c r="C4136" i="14"/>
  <c r="B4833" i="14"/>
  <c r="C1752" i="14"/>
  <c r="C2292" i="14"/>
  <c r="B3702" i="14"/>
  <c r="B863" i="14"/>
  <c r="C1842" i="14"/>
  <c r="B799" i="14"/>
  <c r="C4745" i="14"/>
  <c r="C2202" i="14"/>
  <c r="C3701" i="14"/>
  <c r="C4571" i="14"/>
  <c r="B4572" i="14"/>
  <c r="B3354" i="14"/>
  <c r="B3267" i="14"/>
  <c r="B4746" i="14"/>
  <c r="B4311" i="14"/>
  <c r="B4398" i="14"/>
  <c r="B2584" i="14"/>
  <c r="B5007" i="14"/>
  <c r="C4832" i="14"/>
  <c r="B3528" i="14"/>
  <c r="B3441" i="14"/>
  <c r="C4310" i="14"/>
  <c r="C1122" i="14"/>
  <c r="C4223" i="14"/>
  <c r="C852" i="14"/>
  <c r="C4397" i="14"/>
  <c r="C1482" i="14"/>
  <c r="H4308" i="14" a="1"/>
  <c r="G1031" i="14"/>
  <c r="F670" i="14"/>
  <c r="G4744" i="14"/>
  <c r="G1751" i="14"/>
  <c r="G4657" i="14"/>
  <c r="G2471" i="14"/>
  <c r="H1390" i="14" a="1"/>
  <c r="F3527" i="14"/>
  <c r="G5005" i="14"/>
  <c r="H2110" i="14" a="1"/>
  <c r="F4310" i="14"/>
  <c r="F4484" i="14"/>
  <c r="G4918" i="14"/>
  <c r="G1211" i="14"/>
  <c r="G1121" i="14"/>
  <c r="F4832" i="14"/>
  <c r="G2111" i="14"/>
  <c r="H1570" i="14" a="1"/>
  <c r="G2562" i="14"/>
  <c r="F3440" i="14"/>
  <c r="H2020" i="14" a="1"/>
  <c r="H3786" i="14" a="1"/>
  <c r="H3525" i="14" a="1"/>
  <c r="F2583" i="14"/>
  <c r="G761" i="14"/>
  <c r="G1571" i="14"/>
  <c r="H1480" i="14" a="1"/>
  <c r="H4656" i="14" a="1"/>
  <c r="G3265" i="14"/>
  <c r="F4745" i="14"/>
  <c r="H4134" i="14" a="1"/>
  <c r="G1841" i="14"/>
  <c r="F3353" i="14"/>
  <c r="H5004" i="14" a="1"/>
  <c r="H1210" i="14" a="1"/>
  <c r="H670" i="14" a="1"/>
  <c r="G3700" i="14"/>
  <c r="F4049" i="14"/>
  <c r="H1930" i="14" a="1"/>
  <c r="F3875" i="14"/>
  <c r="G2291" i="14"/>
  <c r="H2470" i="14" a="1"/>
  <c r="G2021" i="14"/>
  <c r="H1120" i="14" a="1"/>
  <c r="G5093" i="14"/>
  <c r="G3961" i="14"/>
  <c r="H5092" i="14" a="1"/>
  <c r="G3787" i="14"/>
  <c r="G3874" i="14"/>
  <c r="G2381" i="14"/>
  <c r="H4221" i="14" a="1"/>
  <c r="H4743" i="14" a="1"/>
  <c r="F4397" i="14"/>
  <c r="F4136" i="14"/>
  <c r="F5094" i="14"/>
  <c r="G3613" i="14"/>
  <c r="H2561" i="14" a="1"/>
  <c r="H3960" i="14" a="1"/>
  <c r="G1931" i="14"/>
  <c r="F4223" i="14"/>
  <c r="G851" i="14"/>
  <c r="G4483" i="14"/>
  <c r="G3439" i="14"/>
  <c r="H4047" i="14" a="1"/>
  <c r="G4222" i="14"/>
  <c r="G2201" i="14"/>
  <c r="H2200" i="14" a="1"/>
  <c r="F3701" i="14"/>
  <c r="H4569" i="14" a="1"/>
  <c r="F3788" i="14"/>
  <c r="G1481" i="14"/>
  <c r="H3438" i="14" a="1"/>
  <c r="G4135" i="14"/>
  <c r="H4830" i="14" a="1"/>
  <c r="H1030" i="14" a="1"/>
  <c r="F863" i="14"/>
  <c r="H940" i="14" a="1"/>
  <c r="H2380" i="14" a="1"/>
  <c r="G941" i="14"/>
  <c r="G4831" i="14"/>
  <c r="F798" i="14"/>
  <c r="H850" i="14" a="1"/>
  <c r="H4482" i="14" a="1"/>
  <c r="G4309" i="14"/>
  <c r="G4570" i="14"/>
  <c r="H3699" i="14" a="1"/>
  <c r="H1840" i="14" a="1"/>
  <c r="G1661" i="14"/>
  <c r="H1660" i="14" a="1"/>
  <c r="H1750" i="14" a="1"/>
  <c r="F3266" i="14"/>
  <c r="F2490" i="14"/>
  <c r="H3264" i="14" a="1"/>
  <c r="H2290" i="14" a="1"/>
  <c r="G3352" i="14"/>
  <c r="H760" i="14" a="1"/>
  <c r="G671" i="14"/>
  <c r="F4571" i="14"/>
  <c r="H3873" i="14" a="1"/>
  <c r="H3612" i="14" a="1"/>
  <c r="H4917" i="14" a="1"/>
  <c r="G4396" i="14"/>
  <c r="G3526" i="14"/>
  <c r="F5006" i="14"/>
  <c r="H4395" i="14" a="1"/>
  <c r="F734" i="14"/>
  <c r="F3962" i="14"/>
  <c r="F4658" i="14"/>
  <c r="H1300" i="14" a="1"/>
  <c r="G1391" i="14"/>
  <c r="H3351" i="14" a="1"/>
  <c r="G1301" i="14"/>
  <c r="G4048" i="14"/>
  <c r="F3614" i="14"/>
  <c r="F4919" i="14"/>
  <c r="H940" i="14" l="1"/>
  <c r="H3960" i="14"/>
  <c r="H4569" i="14"/>
  <c r="H1390" i="14"/>
  <c r="H760" i="14"/>
  <c r="H5092" i="14"/>
  <c r="H1300" i="14"/>
  <c r="H4308" i="14"/>
  <c r="H1120" i="14"/>
  <c r="H4221" i="14"/>
  <c r="H2110" i="14"/>
  <c r="H1750" i="14"/>
  <c r="H1660" i="14"/>
  <c r="H1930" i="14"/>
  <c r="H4917" i="14"/>
  <c r="H4743" i="14"/>
  <c r="H670" i="14"/>
  <c r="H3873" i="14"/>
  <c r="H2561" i="14"/>
  <c r="H3351" i="14"/>
  <c r="H850" i="14"/>
  <c r="H4134" i="14"/>
  <c r="H2290" i="14"/>
  <c r="H3612" i="14"/>
  <c r="H4656" i="14"/>
  <c r="H1210" i="14"/>
  <c r="H4395" i="14"/>
  <c r="H4482" i="14"/>
  <c r="H1030" i="14"/>
  <c r="H3525" i="14"/>
  <c r="H1840" i="14"/>
  <c r="H3264" i="14"/>
  <c r="H2020" i="14"/>
  <c r="H1480" i="14"/>
  <c r="H2470" i="14"/>
  <c r="H1570" i="14"/>
  <c r="H4047" i="14"/>
  <c r="H4830" i="14"/>
  <c r="H3786" i="14"/>
  <c r="H3699" i="14"/>
  <c r="H3438" i="14"/>
  <c r="H2380" i="14"/>
  <c r="H5004" i="14"/>
  <c r="H2200" i="14"/>
  <c r="C1483" i="14"/>
  <c r="C2023" i="14"/>
  <c r="C3528" i="14"/>
  <c r="C5007" i="14"/>
  <c r="C1213" i="14"/>
  <c r="B4660" i="14"/>
  <c r="B3877" i="14"/>
  <c r="C673" i="14"/>
  <c r="C763" i="14"/>
  <c r="C3702" i="14"/>
  <c r="B4312" i="14"/>
  <c r="B736" i="14"/>
  <c r="B672" i="14"/>
  <c r="C4137" i="14"/>
  <c r="C1573" i="14"/>
  <c r="C4920" i="14"/>
  <c r="B4399" i="14"/>
  <c r="C2383" i="14"/>
  <c r="B5008" i="14"/>
  <c r="C1393" i="14"/>
  <c r="B800" i="14"/>
  <c r="B4051" i="14"/>
  <c r="C4572" i="14"/>
  <c r="B4573" i="14"/>
  <c r="C4659" i="14"/>
  <c r="B864" i="14"/>
  <c r="C3963" i="14"/>
  <c r="B4138" i="14"/>
  <c r="C1033" i="14"/>
  <c r="C4398" i="14"/>
  <c r="B4834" i="14"/>
  <c r="B2492" i="14"/>
  <c r="B3268" i="14"/>
  <c r="B3355" i="14"/>
  <c r="C3789" i="14"/>
  <c r="C1933" i="14"/>
  <c r="C3354" i="14"/>
  <c r="C3267" i="14"/>
  <c r="C2203" i="14"/>
  <c r="C4746" i="14"/>
  <c r="B4747" i="14"/>
  <c r="C4050" i="14"/>
  <c r="B3529" i="14"/>
  <c r="B2585" i="14"/>
  <c r="B3442" i="14"/>
  <c r="C3441" i="14"/>
  <c r="B4225" i="14"/>
  <c r="C3615" i="14"/>
  <c r="C1303" i="14"/>
  <c r="C2563" i="14"/>
  <c r="B5095" i="14"/>
  <c r="C4311" i="14"/>
  <c r="B4486" i="14"/>
  <c r="C2293" i="14"/>
  <c r="B4921" i="14"/>
  <c r="C853" i="14"/>
  <c r="C3876" i="14"/>
  <c r="B3964" i="14"/>
  <c r="C2113" i="14"/>
  <c r="C4485" i="14"/>
  <c r="C1843" i="14"/>
  <c r="C5094" i="14"/>
  <c r="C1753" i="14"/>
  <c r="C943" i="14"/>
  <c r="B3616" i="14"/>
  <c r="C4833" i="14"/>
  <c r="B3790" i="14"/>
  <c r="C4224" i="14"/>
  <c r="C2473" i="14"/>
  <c r="C1123" i="14"/>
  <c r="B3703" i="14"/>
  <c r="C1663" i="14"/>
  <c r="F4137" i="14"/>
  <c r="F3702" i="14"/>
  <c r="G3266" i="14"/>
  <c r="H4657" i="14" a="1"/>
  <c r="F4311" i="14"/>
  <c r="F799" i="14"/>
  <c r="F3615" i="14"/>
  <c r="H671" i="14" a="1"/>
  <c r="G4484" i="14"/>
  <c r="H1751" i="14" a="1"/>
  <c r="H4048" i="14" a="1"/>
  <c r="G5094" i="14"/>
  <c r="F5007" i="14"/>
  <c r="G4136" i="14"/>
  <c r="H2381" i="14" a="1"/>
  <c r="H4309" i="14" a="1"/>
  <c r="H3352" i="14" a="1"/>
  <c r="H5093" i="14" a="1"/>
  <c r="G3701" i="14"/>
  <c r="F4833" i="14"/>
  <c r="G1932" i="14"/>
  <c r="H3700" i="14" a="1"/>
  <c r="H2291" i="14" a="1"/>
  <c r="H2021" i="14" a="1"/>
  <c r="F4398" i="14"/>
  <c r="H1931" i="14" a="1"/>
  <c r="G2472" i="14"/>
  <c r="G4223" i="14"/>
  <c r="H1841" i="14" a="1"/>
  <c r="H4222" i="14" a="1"/>
  <c r="F4224" i="14"/>
  <c r="G2563" i="14"/>
  <c r="G2382" i="14"/>
  <c r="F4746" i="14"/>
  <c r="F671" i="14"/>
  <c r="G1212" i="14"/>
  <c r="H4918" i="14" a="1"/>
  <c r="H4135" i="14" a="1"/>
  <c r="G852" i="14"/>
  <c r="G3875" i="14"/>
  <c r="G2022" i="14"/>
  <c r="H3961" i="14" a="1"/>
  <c r="G4049" i="14"/>
  <c r="H1481" i="14" a="1"/>
  <c r="G2292" i="14"/>
  <c r="F3441" i="14"/>
  <c r="H4483" i="14" a="1"/>
  <c r="H1301" i="14" a="1"/>
  <c r="H4570" i="14" a="1"/>
  <c r="G2202" i="14"/>
  <c r="G2112" i="14"/>
  <c r="G1662" i="14"/>
  <c r="G1752" i="14"/>
  <c r="F3354" i="14"/>
  <c r="F864" i="14"/>
  <c r="H5005" i="14" a="1"/>
  <c r="G4658" i="14"/>
  <c r="F2584" i="14"/>
  <c r="H3874" i="14" a="1"/>
  <c r="F4659" i="14"/>
  <c r="G4397" i="14"/>
  <c r="H3613" i="14" a="1"/>
  <c r="G4745" i="14"/>
  <c r="H1391" i="14" a="1"/>
  <c r="F3528" i="14"/>
  <c r="H1121" i="14" a="1"/>
  <c r="G1392" i="14"/>
  <c r="G3440" i="14"/>
  <c r="G3962" i="14"/>
  <c r="G4832" i="14"/>
  <c r="H2111" i="14" a="1"/>
  <c r="G3527" i="14"/>
  <c r="G4310" i="14"/>
  <c r="H3265" i="14" a="1"/>
  <c r="G3353" i="14"/>
  <c r="G4571" i="14"/>
  <c r="H4396" i="14" a="1"/>
  <c r="H4744" i="14" a="1"/>
  <c r="H941" i="14" a="1"/>
  <c r="F3876" i="14"/>
  <c r="H2562" i="14" a="1"/>
  <c r="F4920" i="14"/>
  <c r="G1032" i="14"/>
  <c r="G3788" i="14"/>
  <c r="H851" i="14" a="1"/>
  <c r="F4485" i="14"/>
  <c r="H3787" i="14" a="1"/>
  <c r="G942" i="14"/>
  <c r="H3526" i="14" a="1"/>
  <c r="H1571" i="14" a="1"/>
  <c r="G1122" i="14"/>
  <c r="H1661" i="14" a="1"/>
  <c r="G1302" i="14"/>
  <c r="H3439" i="14" a="1"/>
  <c r="G1572" i="14"/>
  <c r="G1842" i="14"/>
  <c r="H1211" i="14" a="1"/>
  <c r="F3267" i="14"/>
  <c r="H2201" i="14" a="1"/>
  <c r="F3963" i="14"/>
  <c r="G5006" i="14"/>
  <c r="H1031" i="14" a="1"/>
  <c r="F2491" i="14"/>
  <c r="F3789" i="14"/>
  <c r="G1482" i="14"/>
  <c r="G4919" i="14"/>
  <c r="H2471" i="14" a="1"/>
  <c r="G762" i="14"/>
  <c r="G3614" i="14"/>
  <c r="F4050" i="14"/>
  <c r="F4572" i="14"/>
  <c r="G672" i="14"/>
  <c r="F5095" i="14"/>
  <c r="H761" i="14" a="1"/>
  <c r="H4831" i="14" a="1"/>
  <c r="F735" i="14"/>
  <c r="H4831" i="14" l="1"/>
  <c r="H1931" i="14"/>
  <c r="H5093" i="14"/>
  <c r="H4483" i="14"/>
  <c r="H3526" i="14"/>
  <c r="H3874" i="14"/>
  <c r="H1031" i="14"/>
  <c r="H941" i="14"/>
  <c r="H4570" i="14"/>
  <c r="H4396" i="14"/>
  <c r="H1121" i="14"/>
  <c r="H1211" i="14"/>
  <c r="H2291" i="14"/>
  <c r="H4135" i="14"/>
  <c r="H3439" i="14"/>
  <c r="H2111" i="14"/>
  <c r="H3961" i="14"/>
  <c r="H4048" i="14"/>
  <c r="H1751" i="14"/>
  <c r="H1571" i="14"/>
  <c r="H4309" i="14"/>
  <c r="H4222" i="14"/>
  <c r="H3787" i="14"/>
  <c r="H1481" i="14"/>
  <c r="H1661" i="14"/>
  <c r="H5005" i="14"/>
  <c r="H671" i="14"/>
  <c r="H2021" i="14"/>
  <c r="H3613" i="14"/>
  <c r="H2562" i="14"/>
  <c r="H3700" i="14"/>
  <c r="H4918" i="14"/>
  <c r="H851" i="14"/>
  <c r="H2471" i="14"/>
  <c r="H761" i="14"/>
  <c r="H3352" i="14"/>
  <c r="H4657" i="14"/>
  <c r="H3265" i="14"/>
  <c r="H2381" i="14"/>
  <c r="H1841" i="14"/>
  <c r="H4744" i="14"/>
  <c r="H2201" i="14"/>
  <c r="H1301" i="14"/>
  <c r="H1391" i="14"/>
  <c r="B4313" i="14"/>
  <c r="B3443" i="14"/>
  <c r="C1754" i="14"/>
  <c r="C4312" i="14"/>
  <c r="C944" i="14"/>
  <c r="B2586" i="14"/>
  <c r="C2024" i="14"/>
  <c r="C4051" i="14"/>
  <c r="B5096" i="14"/>
  <c r="C2114" i="14"/>
  <c r="C1034" i="14"/>
  <c r="C4573" i="14"/>
  <c r="C4399" i="14"/>
  <c r="C3703" i="14"/>
  <c r="C4834" i="14"/>
  <c r="B4922" i="14"/>
  <c r="C4660" i="14"/>
  <c r="C1664" i="14"/>
  <c r="B4748" i="14"/>
  <c r="C2474" i="14"/>
  <c r="C854" i="14"/>
  <c r="C4138" i="14"/>
  <c r="B3356" i="14"/>
  <c r="B3269" i="14"/>
  <c r="C4747" i="14"/>
  <c r="B4487" i="14"/>
  <c r="C3529" i="14"/>
  <c r="C3355" i="14"/>
  <c r="C3268" i="14"/>
  <c r="C1124" i="14"/>
  <c r="B865" i="14"/>
  <c r="B737" i="14"/>
  <c r="B673" i="14"/>
  <c r="C764" i="14"/>
  <c r="C674" i="14"/>
  <c r="C5095" i="14"/>
  <c r="B5009" i="14"/>
  <c r="C1304" i="14"/>
  <c r="B3791" i="14"/>
  <c r="B3617" i="14"/>
  <c r="C1214" i="14"/>
  <c r="C4921" i="14"/>
  <c r="B4052" i="14"/>
  <c r="C3964" i="14"/>
  <c r="B4574" i="14"/>
  <c r="B3530" i="14"/>
  <c r="C3442" i="14"/>
  <c r="B2493" i="14"/>
  <c r="B4226" i="14"/>
  <c r="B4661" i="14"/>
  <c r="B801" i="14"/>
  <c r="B3878" i="14"/>
  <c r="C2204" i="14"/>
  <c r="C2294" i="14"/>
  <c r="C3877" i="14"/>
  <c r="C3790" i="14"/>
  <c r="C1844" i="14"/>
  <c r="C4486" i="14"/>
  <c r="B4139" i="14"/>
  <c r="C4225" i="14"/>
  <c r="C1574" i="14"/>
  <c r="C2384" i="14"/>
  <c r="C2564" i="14"/>
  <c r="B3704" i="14"/>
  <c r="C1934" i="14"/>
  <c r="C1394" i="14"/>
  <c r="B4835" i="14"/>
  <c r="C1484" i="14"/>
  <c r="C5008" i="14"/>
  <c r="B4400" i="14"/>
  <c r="B3965" i="14"/>
  <c r="C3616" i="14"/>
  <c r="H852" i="14" a="1"/>
  <c r="G1393" i="14"/>
  <c r="H4919" i="14" a="1"/>
  <c r="G1213" i="14"/>
  <c r="H5094" i="14" a="1"/>
  <c r="F3529" i="14"/>
  <c r="F4486" i="14"/>
  <c r="G4485" i="14"/>
  <c r="G3354" i="14"/>
  <c r="G1483" i="14"/>
  <c r="H1842" i="14" a="1"/>
  <c r="G1663" i="14"/>
  <c r="H5006" i="14" a="1"/>
  <c r="G1843" i="14"/>
  <c r="G4311" i="14"/>
  <c r="G4137" i="14"/>
  <c r="F4747" i="14"/>
  <c r="F3442" i="14"/>
  <c r="G2564" i="14"/>
  <c r="H3875" i="14" a="1"/>
  <c r="H672" i="14" a="1"/>
  <c r="F4660" i="14"/>
  <c r="H3440" i="14" a="1"/>
  <c r="H3266" i="14" a="1"/>
  <c r="H3701" i="14" a="1"/>
  <c r="H2563" i="14" a="1"/>
  <c r="H2112" i="14" a="1"/>
  <c r="G4572" i="14"/>
  <c r="F3355" i="14"/>
  <c r="H1662" i="14" a="1"/>
  <c r="H2022" i="14" a="1"/>
  <c r="F5096" i="14"/>
  <c r="F800" i="14"/>
  <c r="G3963" i="14"/>
  <c r="H4571" i="14" a="1"/>
  <c r="F4834" i="14"/>
  <c r="F3268" i="14"/>
  <c r="H2472" i="14" a="1"/>
  <c r="G1573" i="14"/>
  <c r="G5095" i="14"/>
  <c r="G4920" i="14"/>
  <c r="G3702" i="14"/>
  <c r="H1032" i="14" a="1"/>
  <c r="H4832" i="14" a="1"/>
  <c r="G1033" i="14"/>
  <c r="F4573" i="14"/>
  <c r="G3528" i="14"/>
  <c r="G4050" i="14"/>
  <c r="F4225" i="14"/>
  <c r="G3789" i="14"/>
  <c r="G4746" i="14"/>
  <c r="H4310" i="14" a="1"/>
  <c r="G2473" i="14"/>
  <c r="G2023" i="14"/>
  <c r="G853" i="14"/>
  <c r="G2113" i="14"/>
  <c r="H3614" i="14" a="1"/>
  <c r="H4136" i="14" a="1"/>
  <c r="G943" i="14"/>
  <c r="G3876" i="14"/>
  <c r="H4397" i="14" a="1"/>
  <c r="F2585" i="14"/>
  <c r="G3441" i="14"/>
  <c r="H4745" i="14" a="1"/>
  <c r="F3964" i="14"/>
  <c r="H3527" i="14" a="1"/>
  <c r="F4138" i="14"/>
  <c r="G1753" i="14"/>
  <c r="G4398" i="14"/>
  <c r="G4224" i="14"/>
  <c r="G4659" i="14"/>
  <c r="G1933" i="14"/>
  <c r="G3267" i="14"/>
  <c r="H1122" i="14" a="1"/>
  <c r="H3788" i="14" a="1"/>
  <c r="H1572" i="14" a="1"/>
  <c r="F4312" i="14"/>
  <c r="F3703" i="14"/>
  <c r="G2383" i="14"/>
  <c r="F672" i="14"/>
  <c r="F736" i="14"/>
  <c r="F4921" i="14"/>
  <c r="G1303" i="14"/>
  <c r="G2203" i="14"/>
  <c r="F3790" i="14"/>
  <c r="F4399" i="14"/>
  <c r="G5007" i="14"/>
  <c r="H1302" i="14" a="1"/>
  <c r="H2202" i="14" a="1"/>
  <c r="F5008" i="14"/>
  <c r="F865" i="14"/>
  <c r="H942" i="14" a="1"/>
  <c r="H1212" i="14" a="1"/>
  <c r="H4658" i="14" a="1"/>
  <c r="H2382" i="14" a="1"/>
  <c r="F2492" i="14"/>
  <c r="G4833" i="14"/>
  <c r="H762" i="14" a="1"/>
  <c r="H4049" i="14" a="1"/>
  <c r="H4484" i="14" a="1"/>
  <c r="H1932" i="14" a="1"/>
  <c r="G673" i="14"/>
  <c r="G3615" i="14"/>
  <c r="H3353" i="14" a="1"/>
  <c r="G1123" i="14"/>
  <c r="H1752" i="14" a="1"/>
  <c r="H2292" i="14" a="1"/>
  <c r="H1392" i="14" a="1"/>
  <c r="F4051" i="14"/>
  <c r="F3616" i="14"/>
  <c r="H1482" i="14" a="1"/>
  <c r="G2293" i="14"/>
  <c r="G763" i="14"/>
  <c r="H4223" i="14" a="1"/>
  <c r="H3962" i="14" a="1"/>
  <c r="F3877" i="14"/>
  <c r="H1842" i="14" l="1"/>
  <c r="H3962" i="14"/>
  <c r="H4223" i="14"/>
  <c r="H1752" i="14"/>
  <c r="H762" i="14"/>
  <c r="H5094" i="14"/>
  <c r="H2202" i="14"/>
  <c r="H852" i="14"/>
  <c r="H5006" i="14"/>
  <c r="H1392" i="14"/>
  <c r="H2292" i="14"/>
  <c r="H4049" i="14"/>
  <c r="H2022" i="14"/>
  <c r="H1482" i="14"/>
  <c r="H3440" i="14"/>
  <c r="H4310" i="14"/>
  <c r="H1032" i="14"/>
  <c r="H1932" i="14"/>
  <c r="H4484" i="14"/>
  <c r="H942" i="14"/>
  <c r="H3266" i="14"/>
  <c r="H3353" i="14"/>
  <c r="H1122" i="14"/>
  <c r="H4832" i="14"/>
  <c r="H3614" i="14"/>
  <c r="H4658" i="14"/>
  <c r="H1212" i="14"/>
  <c r="H3701" i="14"/>
  <c r="H3788" i="14"/>
  <c r="H2472" i="14"/>
  <c r="H4397" i="14"/>
  <c r="H2382" i="14"/>
  <c r="H4136" i="14"/>
  <c r="H2112" i="14"/>
  <c r="H2563" i="14"/>
  <c r="H1572" i="14"/>
  <c r="H4745" i="14"/>
  <c r="H1662" i="14"/>
  <c r="H4919" i="14"/>
  <c r="H1302" i="14"/>
  <c r="H4571" i="14"/>
  <c r="H672" i="14"/>
  <c r="H3875" i="14"/>
  <c r="H3527" i="14"/>
  <c r="C945" i="14"/>
  <c r="C4487" i="14"/>
  <c r="B4053" i="14"/>
  <c r="B4227" i="14"/>
  <c r="B866" i="14"/>
  <c r="C3530" i="14"/>
  <c r="C1575" i="14"/>
  <c r="B3792" i="14"/>
  <c r="C3878" i="14"/>
  <c r="B3966" i="14"/>
  <c r="C3617" i="14"/>
  <c r="C3791" i="14"/>
  <c r="B3531" i="14"/>
  <c r="C3704" i="14"/>
  <c r="C4313" i="14"/>
  <c r="B2494" i="14"/>
  <c r="C4052" i="14"/>
  <c r="B3705" i="14"/>
  <c r="B4575" i="14"/>
  <c r="C4226" i="14"/>
  <c r="C1755" i="14"/>
  <c r="C2205" i="14"/>
  <c r="B2587" i="14"/>
  <c r="B3879" i="14"/>
  <c r="C765" i="14"/>
  <c r="C675" i="14"/>
  <c r="C1215" i="14"/>
  <c r="C4748" i="14"/>
  <c r="C4835" i="14"/>
  <c r="B4401" i="14"/>
  <c r="B3618" i="14"/>
  <c r="C5009" i="14"/>
  <c r="C3269" i="14"/>
  <c r="C3356" i="14"/>
  <c r="B5010" i="14"/>
  <c r="C4661" i="14"/>
  <c r="C4139" i="14"/>
  <c r="C4400" i="14"/>
  <c r="C1485" i="14"/>
  <c r="C2475" i="14"/>
  <c r="C4574" i="14"/>
  <c r="B4749" i="14"/>
  <c r="C1395" i="14"/>
  <c r="C3443" i="14"/>
  <c r="B3270" i="14"/>
  <c r="B3357" i="14"/>
  <c r="C2565" i="14"/>
  <c r="C3965" i="14"/>
  <c r="B4140" i="14"/>
  <c r="C855" i="14"/>
  <c r="B4488" i="14"/>
  <c r="C2025" i="14"/>
  <c r="C1665" i="14"/>
  <c r="C2295" i="14"/>
  <c r="C1305" i="14"/>
  <c r="B674" i="14"/>
  <c r="B738" i="14"/>
  <c r="B3444" i="14"/>
  <c r="C1125" i="14"/>
  <c r="B4923" i="14"/>
  <c r="C1035" i="14"/>
  <c r="C2385" i="14"/>
  <c r="C5096" i="14"/>
  <c r="C1935" i="14"/>
  <c r="B4314" i="14"/>
  <c r="B4662" i="14"/>
  <c r="B5097" i="14"/>
  <c r="B802" i="14"/>
  <c r="B4836" i="14"/>
  <c r="C4922" i="14"/>
  <c r="C2115" i="14"/>
  <c r="C1845" i="14"/>
  <c r="G4834" i="14"/>
  <c r="H2473" i="14" a="1"/>
  <c r="G854" i="14"/>
  <c r="G4312" i="14"/>
  <c r="H4224" i="14" a="1"/>
  <c r="G4138" i="14"/>
  <c r="G2474" i="14"/>
  <c r="G3355" i="14"/>
  <c r="G1304" i="14"/>
  <c r="G3877" i="14"/>
  <c r="H3354" i="14" a="1"/>
  <c r="F4400" i="14"/>
  <c r="G2024" i="14"/>
  <c r="H5095" i="14" a="1"/>
  <c r="H4833" i="14" a="1"/>
  <c r="G3964" i="14"/>
  <c r="G1034" i="14"/>
  <c r="F4748" i="14"/>
  <c r="H3615" i="14" a="1"/>
  <c r="G1844" i="14"/>
  <c r="F3269" i="14"/>
  <c r="H3789" i="14" a="1"/>
  <c r="F801" i="14"/>
  <c r="F3791" i="14"/>
  <c r="G3703" i="14"/>
  <c r="H2383" i="14" a="1"/>
  <c r="G4486" i="14"/>
  <c r="F2586" i="14"/>
  <c r="H4050" i="14" a="1"/>
  <c r="G2114" i="14"/>
  <c r="F4226" i="14"/>
  <c r="H1303" i="14" a="1"/>
  <c r="H4659" i="14" a="1"/>
  <c r="G2204" i="14"/>
  <c r="F3443" i="14"/>
  <c r="H853" i="14" a="1"/>
  <c r="G4573" i="14"/>
  <c r="H2023" i="14" a="1"/>
  <c r="H4572" i="14" a="1"/>
  <c r="H3528" i="14" a="1"/>
  <c r="G1934" i="14"/>
  <c r="H1753" i="14" a="1"/>
  <c r="H1933" i="14" a="1"/>
  <c r="G1214" i="14"/>
  <c r="F673" i="14"/>
  <c r="H4746" i="14" a="1"/>
  <c r="H1843" i="14" a="1"/>
  <c r="F3965" i="14"/>
  <c r="H3702" i="14" a="1"/>
  <c r="H943" i="14" a="1"/>
  <c r="F4922" i="14"/>
  <c r="H763" i="14" a="1"/>
  <c r="H2203" i="14" a="1"/>
  <c r="H3441" i="14" a="1"/>
  <c r="G4660" i="14"/>
  <c r="H2293" i="14" a="1"/>
  <c r="H1573" i="14" a="1"/>
  <c r="H1213" i="14" a="1"/>
  <c r="F2493" i="14"/>
  <c r="F4835" i="14"/>
  <c r="H1123" i="14" a="1"/>
  <c r="G674" i="14"/>
  <c r="F4139" i="14"/>
  <c r="G3442" i="14"/>
  <c r="G1574" i="14"/>
  <c r="F3530" i="14"/>
  <c r="H3267" i="14" a="1"/>
  <c r="F4052" i="14"/>
  <c r="F5097" i="14"/>
  <c r="H1483" i="14" a="1"/>
  <c r="H1393" i="14" a="1"/>
  <c r="F866" i="14"/>
  <c r="G2384" i="14"/>
  <c r="H3876" i="14" a="1"/>
  <c r="G4921" i="14"/>
  <c r="H4398" i="14" a="1"/>
  <c r="G944" i="14"/>
  <c r="G1124" i="14"/>
  <c r="G5096" i="14"/>
  <c r="F737" i="14"/>
  <c r="H2113" i="14" a="1"/>
  <c r="G1754" i="14"/>
  <c r="H673" i="14" a="1"/>
  <c r="G4051" i="14"/>
  <c r="H4311" i="14" a="1"/>
  <c r="G1394" i="14"/>
  <c r="G2565" i="14"/>
  <c r="F3704" i="14"/>
  <c r="G4747" i="14"/>
  <c r="H3963" i="14" a="1"/>
  <c r="H4137" i="14" a="1"/>
  <c r="G2294" i="14"/>
  <c r="H1663" i="14" a="1"/>
  <c r="F5009" i="14"/>
  <c r="G764" i="14"/>
  <c r="G3268" i="14"/>
  <c r="G4399" i="14"/>
  <c r="G3790" i="14"/>
  <c r="F3617" i="14"/>
  <c r="G3616" i="14"/>
  <c r="H2564" i="14" a="1"/>
  <c r="F4574" i="14"/>
  <c r="H5007" i="14" a="1"/>
  <c r="F3878" i="14"/>
  <c r="F3356" i="14"/>
  <c r="G5008" i="14"/>
  <c r="H1033" i="14" a="1"/>
  <c r="F4487" i="14"/>
  <c r="H4920" i="14" a="1"/>
  <c r="G1664" i="14"/>
  <c r="F4313" i="14"/>
  <c r="G4225" i="14"/>
  <c r="G1484" i="14"/>
  <c r="H4485" i="14" a="1"/>
  <c r="G3529" i="14"/>
  <c r="F4661" i="14"/>
  <c r="H1033" i="14" l="1"/>
  <c r="H4137" i="14"/>
  <c r="H3441" i="14"/>
  <c r="H2203" i="14"/>
  <c r="H1123" i="14"/>
  <c r="H1393" i="14"/>
  <c r="H1663" i="14"/>
  <c r="H4659" i="14"/>
  <c r="H1483" i="14"/>
  <c r="H673" i="14"/>
  <c r="H1843" i="14"/>
  <c r="H4746" i="14"/>
  <c r="H4224" i="14"/>
  <c r="H1213" i="14"/>
  <c r="H4050" i="14"/>
  <c r="H4920" i="14"/>
  <c r="H5095" i="14"/>
  <c r="H4398" i="14"/>
  <c r="H3528" i="14"/>
  <c r="H4572" i="14"/>
  <c r="H763" i="14"/>
  <c r="H2473" i="14"/>
  <c r="H3789" i="14"/>
  <c r="H2564" i="14"/>
  <c r="H2293" i="14"/>
  <c r="H3267" i="14"/>
  <c r="H3963" i="14"/>
  <c r="H1303" i="14"/>
  <c r="H5007" i="14"/>
  <c r="H943" i="14"/>
  <c r="H4833" i="14"/>
  <c r="H853" i="14"/>
  <c r="H3702" i="14"/>
  <c r="H3354" i="14"/>
  <c r="H2383" i="14"/>
  <c r="H2113" i="14"/>
  <c r="H2023" i="14"/>
  <c r="H1933" i="14"/>
  <c r="H1573" i="14"/>
  <c r="H4311" i="14"/>
  <c r="H1753" i="14"/>
  <c r="H4485" i="14"/>
  <c r="H3615" i="14"/>
  <c r="H3876" i="14"/>
  <c r="C2116" i="14"/>
  <c r="C4053" i="14"/>
  <c r="C3792" i="14"/>
  <c r="B4054" i="14"/>
  <c r="C3444" i="14"/>
  <c r="C1846" i="14"/>
  <c r="C3966" i="14"/>
  <c r="C1036" i="14"/>
  <c r="C5010" i="14"/>
  <c r="B4750" i="14"/>
  <c r="B3532" i="14"/>
  <c r="C2386" i="14"/>
  <c r="C946" i="14"/>
  <c r="B3271" i="14"/>
  <c r="B3358" i="14"/>
  <c r="C4227" i="14"/>
  <c r="C4923" i="14"/>
  <c r="C3879" i="14"/>
  <c r="B3880" i="14"/>
  <c r="B867" i="14"/>
  <c r="C1576" i="14"/>
  <c r="C4575" i="14"/>
  <c r="B5011" i="14"/>
  <c r="B4576" i="14"/>
  <c r="C1486" i="14"/>
  <c r="B5098" i="14"/>
  <c r="C766" i="14"/>
  <c r="C676" i="14"/>
  <c r="C1216" i="14"/>
  <c r="C1396" i="14"/>
  <c r="C856" i="14"/>
  <c r="C1306" i="14"/>
  <c r="C2296" i="14"/>
  <c r="C3618" i="14"/>
  <c r="C4488" i="14"/>
  <c r="C4140" i="14"/>
  <c r="B3619" i="14"/>
  <c r="C2206" i="14"/>
  <c r="B3445" i="14"/>
  <c r="B4837" i="14"/>
  <c r="C3270" i="14"/>
  <c r="C3357" i="14"/>
  <c r="C2476" i="14"/>
  <c r="C4662" i="14"/>
  <c r="B3967" i="14"/>
  <c r="C4314" i="14"/>
  <c r="B2495" i="14"/>
  <c r="B4315" i="14"/>
  <c r="C1126" i="14"/>
  <c r="B803" i="14"/>
  <c r="C1756" i="14"/>
  <c r="B4228" i="14"/>
  <c r="C3531" i="14"/>
  <c r="C2566" i="14"/>
  <c r="C5097" i="14"/>
  <c r="C4836" i="14"/>
  <c r="B2588" i="14"/>
  <c r="C1666" i="14"/>
  <c r="C1936" i="14"/>
  <c r="C2026" i="14"/>
  <c r="B4489" i="14"/>
  <c r="B3793" i="14"/>
  <c r="B4924" i="14"/>
  <c r="B4402" i="14"/>
  <c r="B739" i="14"/>
  <c r="B675" i="14"/>
  <c r="C4749" i="14"/>
  <c r="B3706" i="14"/>
  <c r="B4663" i="14"/>
  <c r="C4401" i="14"/>
  <c r="C3705" i="14"/>
  <c r="B4141" i="14"/>
  <c r="H4399" i="14" a="1"/>
  <c r="H1304" i="14" a="1"/>
  <c r="F867" i="14"/>
  <c r="H4312" i="14" a="1"/>
  <c r="G2205" i="14"/>
  <c r="H1934" i="14" a="1"/>
  <c r="F3531" i="14"/>
  <c r="H2024" i="14" a="1"/>
  <c r="H3268" i="14" a="1"/>
  <c r="G3443" i="14"/>
  <c r="H4921" i="14" a="1"/>
  <c r="F2587" i="14"/>
  <c r="H1574" i="14" a="1"/>
  <c r="F674" i="14"/>
  <c r="F4314" i="14"/>
  <c r="G1665" i="14"/>
  <c r="G3965" i="14"/>
  <c r="F4662" i="14"/>
  <c r="H1214" i="14" a="1"/>
  <c r="H1664" i="14" a="1"/>
  <c r="H2114" i="14" a="1"/>
  <c r="F802" i="14"/>
  <c r="G1845" i="14"/>
  <c r="F4053" i="14"/>
  <c r="G1395" i="14"/>
  <c r="H2384" i="14" a="1"/>
  <c r="H1034" i="14" a="1"/>
  <c r="G2025" i="14"/>
  <c r="H2474" i="14" a="1"/>
  <c r="F3618" i="14"/>
  <c r="F4401" i="14"/>
  <c r="G4922" i="14"/>
  <c r="H3877" i="14" a="1"/>
  <c r="H1754" i="14" a="1"/>
  <c r="H674" i="14" a="1"/>
  <c r="G4139" i="14"/>
  <c r="G2566" i="14"/>
  <c r="G4052" i="14"/>
  <c r="F4749" i="14"/>
  <c r="F3705" i="14"/>
  <c r="G675" i="14"/>
  <c r="G765" i="14"/>
  <c r="H5096" i="14" a="1"/>
  <c r="H3442" i="14" a="1"/>
  <c r="H4834" i="14" a="1"/>
  <c r="H1484" i="14" a="1"/>
  <c r="G1035" i="14"/>
  <c r="G4574" i="14"/>
  <c r="F4227" i="14"/>
  <c r="G1935" i="14"/>
  <c r="H1394" i="14" a="1"/>
  <c r="G3356" i="14"/>
  <c r="G3269" i="14"/>
  <c r="F3879" i="14"/>
  <c r="F738" i="14"/>
  <c r="G4487" i="14"/>
  <c r="G5097" i="14"/>
  <c r="G3878" i="14"/>
  <c r="G3704" i="14"/>
  <c r="H764" i="14" a="1"/>
  <c r="G1125" i="14"/>
  <c r="H1844" i="14" a="1"/>
  <c r="G1755" i="14"/>
  <c r="H3616" i="14" a="1"/>
  <c r="F5010" i="14"/>
  <c r="H854" i="14" a="1"/>
  <c r="H4138" i="14" a="1"/>
  <c r="G3530" i="14"/>
  <c r="H3703" i="14" a="1"/>
  <c r="F4836" i="14"/>
  <c r="H4051" i="14" a="1"/>
  <c r="G945" i="14"/>
  <c r="H4747" i="14" a="1"/>
  <c r="H3355" i="14" a="1"/>
  <c r="H3964" i="14" a="1"/>
  <c r="H4573" i="14" a="1"/>
  <c r="G4313" i="14"/>
  <c r="F3966" i="14"/>
  <c r="G2295" i="14"/>
  <c r="H4225" i="14" a="1"/>
  <c r="F3792" i="14"/>
  <c r="F4923" i="14"/>
  <c r="H3529" i="14" a="1"/>
  <c r="G855" i="14"/>
  <c r="G4226" i="14"/>
  <c r="H4486" i="14" a="1"/>
  <c r="F4575" i="14"/>
  <c r="F3444" i="14"/>
  <c r="G1485" i="14"/>
  <c r="G2115" i="14"/>
  <c r="G1215" i="14"/>
  <c r="F3357" i="14"/>
  <c r="G2385" i="14"/>
  <c r="F2494" i="14"/>
  <c r="H944" i="14" a="1"/>
  <c r="F3270" i="14"/>
  <c r="G1575" i="14"/>
  <c r="G4400" i="14"/>
  <c r="H2294" i="14" a="1"/>
  <c r="H1124" i="14" a="1"/>
  <c r="F4140" i="14"/>
  <c r="G5009" i="14"/>
  <c r="F4488" i="14"/>
  <c r="G2475" i="14"/>
  <c r="G3617" i="14"/>
  <c r="H3790" i="14" a="1"/>
  <c r="G3791" i="14"/>
  <c r="G1305" i="14"/>
  <c r="G4661" i="14"/>
  <c r="H5008" i="14" a="1"/>
  <c r="H2565" i="14" a="1"/>
  <c r="H4660" i="14" a="1"/>
  <c r="H2204" i="14" a="1"/>
  <c r="G4748" i="14"/>
  <c r="F5098" i="14"/>
  <c r="G4835" i="14"/>
  <c r="H5096" i="14" l="1"/>
  <c r="H1124" i="14"/>
  <c r="H2294" i="14"/>
  <c r="H3529" i="14"/>
  <c r="H3964" i="14"/>
  <c r="H3355" i="14"/>
  <c r="H4225" i="14"/>
  <c r="H4399" i="14"/>
  <c r="H674" i="14"/>
  <c r="H1754" i="14"/>
  <c r="H3877" i="14"/>
  <c r="H4573" i="14"/>
  <c r="H3616" i="14"/>
  <c r="H1844" i="14"/>
  <c r="H4747" i="14"/>
  <c r="H1394" i="14"/>
  <c r="H4486" i="14"/>
  <c r="H1034" i="14"/>
  <c r="H2384" i="14"/>
  <c r="H854" i="14"/>
  <c r="H1934" i="14"/>
  <c r="H4312" i="14"/>
  <c r="H764" i="14"/>
  <c r="H3442" i="14"/>
  <c r="H2114" i="14"/>
  <c r="H1664" i="14"/>
  <c r="H1214" i="14"/>
  <c r="H2024" i="14"/>
  <c r="H4660" i="14"/>
  <c r="H2565" i="14"/>
  <c r="H1304" i="14"/>
  <c r="H944" i="14"/>
  <c r="H4051" i="14"/>
  <c r="H3703" i="14"/>
  <c r="H4138" i="14"/>
  <c r="H2204" i="14"/>
  <c r="H1484" i="14"/>
  <c r="H4834" i="14"/>
  <c r="H5008" i="14"/>
  <c r="H2474" i="14"/>
  <c r="H1574" i="14"/>
  <c r="H4921" i="14"/>
  <c r="H3268" i="14"/>
  <c r="H3790" i="14"/>
  <c r="C2027" i="14"/>
  <c r="C3532" i="14"/>
  <c r="B868" i="14"/>
  <c r="B4490" i="14"/>
  <c r="C2117" i="14"/>
  <c r="B4403" i="14"/>
  <c r="C4750" i="14"/>
  <c r="B3533" i="14"/>
  <c r="C4576" i="14"/>
  <c r="B5099" i="14"/>
  <c r="B3968" i="14"/>
  <c r="C1937" i="14"/>
  <c r="B4229" i="14"/>
  <c r="B3794" i="14"/>
  <c r="B5012" i="14"/>
  <c r="C1847" i="14"/>
  <c r="C947" i="14"/>
  <c r="C4663" i="14"/>
  <c r="C3967" i="14"/>
  <c r="B3359" i="14"/>
  <c r="B3272" i="14"/>
  <c r="B4838" i="14"/>
  <c r="C4141" i="14"/>
  <c r="C4837" i="14"/>
  <c r="C3706" i="14"/>
  <c r="C4489" i="14"/>
  <c r="C4402" i="14"/>
  <c r="C3271" i="14"/>
  <c r="C3358" i="14"/>
  <c r="C1577" i="14"/>
  <c r="C1667" i="14"/>
  <c r="C1127" i="14"/>
  <c r="B804" i="14"/>
  <c r="B2589" i="14"/>
  <c r="C3619" i="14"/>
  <c r="C1217" i="14"/>
  <c r="B3707" i="14"/>
  <c r="C2387" i="14"/>
  <c r="C1307" i="14"/>
  <c r="B4664" i="14"/>
  <c r="C2477" i="14"/>
  <c r="B4142" i="14"/>
  <c r="C3445" i="14"/>
  <c r="C1487" i="14"/>
  <c r="B740" i="14"/>
  <c r="B676" i="14"/>
  <c r="B3881" i="14"/>
  <c r="C1757" i="14"/>
  <c r="B4577" i="14"/>
  <c r="B4055" i="14"/>
  <c r="C1397" i="14"/>
  <c r="C767" i="14"/>
  <c r="C677" i="14"/>
  <c r="C4315" i="14"/>
  <c r="B3620" i="14"/>
  <c r="C3880" i="14"/>
  <c r="C3793" i="14"/>
  <c r="B2496" i="14"/>
  <c r="C2567" i="14"/>
  <c r="C2297" i="14"/>
  <c r="C1037" i="14"/>
  <c r="C5011" i="14"/>
  <c r="C5098" i="14"/>
  <c r="C2207" i="14"/>
  <c r="B4751" i="14"/>
  <c r="C4924" i="14"/>
  <c r="B4316" i="14"/>
  <c r="B4925" i="14"/>
  <c r="C4228" i="14"/>
  <c r="C857" i="14"/>
  <c r="B3446" i="14"/>
  <c r="C4054" i="14"/>
  <c r="H4139" i="14" a="1"/>
  <c r="G4836" i="14"/>
  <c r="H1935" i="14" a="1"/>
  <c r="H1845" i="14" a="1"/>
  <c r="F4141" i="14"/>
  <c r="H2025" i="14" a="1"/>
  <c r="G3966" i="14"/>
  <c r="H1305" i="14" a="1"/>
  <c r="G4488" i="14"/>
  <c r="H1755" i="14" a="1"/>
  <c r="F675" i="14"/>
  <c r="H4835" i="14" a="1"/>
  <c r="H2475" i="14" a="1"/>
  <c r="G3618" i="14"/>
  <c r="F4663" i="14"/>
  <c r="G4401" i="14"/>
  <c r="G1396" i="14"/>
  <c r="H4574" i="14" a="1"/>
  <c r="H855" i="14" a="1"/>
  <c r="H3791" i="14" a="1"/>
  <c r="F868" i="14"/>
  <c r="F5011" i="14"/>
  <c r="G4227" i="14"/>
  <c r="G1036" i="14"/>
  <c r="F3793" i="14"/>
  <c r="F3619" i="14"/>
  <c r="H4661" i="14" a="1"/>
  <c r="H4487" i="14" a="1"/>
  <c r="H1575" i="14" a="1"/>
  <c r="G1306" i="14"/>
  <c r="G2567" i="14"/>
  <c r="G4923" i="14"/>
  <c r="F4054" i="14"/>
  <c r="H2566" i="14" a="1"/>
  <c r="G1936" i="14"/>
  <c r="F3967" i="14"/>
  <c r="H2205" i="14" a="1"/>
  <c r="G1486" i="14"/>
  <c r="G1756" i="14"/>
  <c r="G4749" i="14"/>
  <c r="G676" i="14"/>
  <c r="H1215" i="14" a="1"/>
  <c r="G2116" i="14"/>
  <c r="F4402" i="14"/>
  <c r="H3965" i="14" a="1"/>
  <c r="F4489" i="14"/>
  <c r="G2476" i="14"/>
  <c r="G2386" i="14"/>
  <c r="G766" i="14"/>
  <c r="G4314" i="14"/>
  <c r="G4140" i="14"/>
  <c r="H3878" i="14" a="1"/>
  <c r="H675" i="14" a="1"/>
  <c r="H1035" i="14" a="1"/>
  <c r="H765" i="14" a="1"/>
  <c r="G3270" i="14"/>
  <c r="H3617" i="14" a="1"/>
  <c r="F739" i="14"/>
  <c r="F803" i="14"/>
  <c r="G2296" i="14"/>
  <c r="F3880" i="14"/>
  <c r="G4053" i="14"/>
  <c r="F3358" i="14"/>
  <c r="H945" i="14" a="1"/>
  <c r="G856" i="14"/>
  <c r="H3269" i="14" a="1"/>
  <c r="G1846" i="14"/>
  <c r="H1665" i="14" a="1"/>
  <c r="G3357" i="14"/>
  <c r="H2295" i="14" a="1"/>
  <c r="H3356" i="14" a="1"/>
  <c r="F4837" i="14"/>
  <c r="G2026" i="14"/>
  <c r="G4662" i="14"/>
  <c r="F4315" i="14"/>
  <c r="F5099" i="14"/>
  <c r="F3271" i="14"/>
  <c r="F2588" i="14"/>
  <c r="H4313" i="14" a="1"/>
  <c r="G3444" i="14"/>
  <c r="G5010" i="14"/>
  <c r="F4924" i="14"/>
  <c r="F4228" i="14"/>
  <c r="G1666" i="14"/>
  <c r="H3443" i="14" a="1"/>
  <c r="H4052" i="14" a="1"/>
  <c r="F2495" i="14"/>
  <c r="F4576" i="14"/>
  <c r="H3530" i="14" a="1"/>
  <c r="F3445" i="14"/>
  <c r="G3879" i="14"/>
  <c r="F4750" i="14"/>
  <c r="H5009" i="14" a="1"/>
  <c r="H1125" i="14" a="1"/>
  <c r="H2115" i="14" a="1"/>
  <c r="H2385" i="14" a="1"/>
  <c r="H5097" i="14" a="1"/>
  <c r="H1395" i="14" a="1"/>
  <c r="G5098" i="14"/>
  <c r="F3706" i="14"/>
  <c r="G946" i="14"/>
  <c r="H1485" i="14" a="1"/>
  <c r="H4226" i="14" a="1"/>
  <c r="H3704" i="14" a="1"/>
  <c r="H4748" i="14" a="1"/>
  <c r="G1216" i="14"/>
  <c r="G3705" i="14"/>
  <c r="G3792" i="14"/>
  <c r="G3531" i="14"/>
  <c r="H4922" i="14" a="1"/>
  <c r="G2206" i="14"/>
  <c r="F3532" i="14"/>
  <c r="G4575" i="14"/>
  <c r="H4400" i="14" a="1"/>
  <c r="G1576" i="14"/>
  <c r="G1126" i="14"/>
  <c r="H1125" i="14" l="1"/>
  <c r="H1215" i="14"/>
  <c r="H5009" i="14"/>
  <c r="H4574" i="14"/>
  <c r="H945" i="14"/>
  <c r="H1845" i="14"/>
  <c r="H1935" i="14"/>
  <c r="H4139" i="14"/>
  <c r="H4661" i="14"/>
  <c r="H2566" i="14"/>
  <c r="H3443" i="14"/>
  <c r="H3269" i="14"/>
  <c r="H2025" i="14"/>
  <c r="H675" i="14"/>
  <c r="H4922" i="14"/>
  <c r="H3878" i="14"/>
  <c r="H3791" i="14"/>
  <c r="H4052" i="14"/>
  <c r="H855" i="14"/>
  <c r="H1305" i="14"/>
  <c r="H1035" i="14"/>
  <c r="H4226" i="14"/>
  <c r="H3965" i="14"/>
  <c r="H1485" i="14"/>
  <c r="H3356" i="14"/>
  <c r="H4313" i="14"/>
  <c r="H1665" i="14"/>
  <c r="H765" i="14"/>
  <c r="H3704" i="14"/>
  <c r="H2385" i="14"/>
  <c r="H2205" i="14"/>
  <c r="H2115" i="14"/>
  <c r="H2475" i="14"/>
  <c r="H2295" i="14"/>
  <c r="H1755" i="14"/>
  <c r="H4748" i="14"/>
  <c r="H5097" i="14"/>
  <c r="H1575" i="14"/>
  <c r="H3530" i="14"/>
  <c r="H4487" i="14"/>
  <c r="H3617" i="14"/>
  <c r="H4835" i="14"/>
  <c r="H4400" i="14"/>
  <c r="H1395" i="14"/>
  <c r="C3620" i="14"/>
  <c r="B4926" i="14"/>
  <c r="C2478" i="14"/>
  <c r="B2590" i="14"/>
  <c r="C1668" i="14"/>
  <c r="C4664" i="14"/>
  <c r="C2208" i="14"/>
  <c r="C2118" i="14"/>
  <c r="C5099" i="14"/>
  <c r="B4143" i="14"/>
  <c r="B805" i="14"/>
  <c r="C2568" i="14"/>
  <c r="B869" i="14"/>
  <c r="C3446" i="14"/>
  <c r="C3794" i="14"/>
  <c r="B3360" i="14"/>
  <c r="C1938" i="14"/>
  <c r="B3621" i="14"/>
  <c r="B4578" i="14"/>
  <c r="C1848" i="14"/>
  <c r="C1398" i="14"/>
  <c r="C4142" i="14"/>
  <c r="C2388" i="14"/>
  <c r="C3968" i="14"/>
  <c r="C1488" i="14"/>
  <c r="C1758" i="14"/>
  <c r="C4577" i="14"/>
  <c r="B3708" i="14"/>
  <c r="B3534" i="14"/>
  <c r="B4404" i="14"/>
  <c r="B741" i="14"/>
  <c r="B677" i="14"/>
  <c r="C948" i="14"/>
  <c r="C5012" i="14"/>
  <c r="C4925" i="14"/>
  <c r="B3447" i="14"/>
  <c r="C858" i="14"/>
  <c r="C4229" i="14"/>
  <c r="C4751" i="14"/>
  <c r="C2298" i="14"/>
  <c r="B4230" i="14"/>
  <c r="C1038" i="14"/>
  <c r="B4317" i="14"/>
  <c r="B2497" i="14"/>
  <c r="C4403" i="14"/>
  <c r="B3795" i="14"/>
  <c r="C3272" i="14"/>
  <c r="C3359" i="14"/>
  <c r="C2028" i="14"/>
  <c r="B4839" i="14"/>
  <c r="C1128" i="14"/>
  <c r="C3881" i="14"/>
  <c r="C768" i="14"/>
  <c r="C678" i="14"/>
  <c r="B4665" i="14"/>
  <c r="C1578" i="14"/>
  <c r="B4056" i="14"/>
  <c r="C3533" i="14"/>
  <c r="C3707" i="14"/>
  <c r="B5013" i="14"/>
  <c r="B3882" i="14"/>
  <c r="B4491" i="14"/>
  <c r="B3969" i="14"/>
  <c r="C4316" i="14"/>
  <c r="B4752" i="14"/>
  <c r="C1308" i="14"/>
  <c r="C1218" i="14"/>
  <c r="C4490" i="14"/>
  <c r="C4055" i="14"/>
  <c r="B5100" i="14"/>
  <c r="C4838" i="14"/>
  <c r="F4403" i="14"/>
  <c r="H766" i="14" a="1"/>
  <c r="H1216" i="14" a="1"/>
  <c r="G1307" i="14"/>
  <c r="F4229" i="14"/>
  <c r="H2206" i="14" a="1"/>
  <c r="F740" i="14"/>
  <c r="H1396" i="14" a="1"/>
  <c r="H2476" i="14" a="1"/>
  <c r="F3620" i="14"/>
  <c r="F4925" i="14"/>
  <c r="H2026" i="14" a="1"/>
  <c r="G1397" i="14"/>
  <c r="G947" i="14"/>
  <c r="F4664" i="14"/>
  <c r="H5098" i="14" a="1"/>
  <c r="G2117" i="14"/>
  <c r="F2590" i="14"/>
  <c r="H5010" i="14" a="1"/>
  <c r="F2496" i="14"/>
  <c r="F4142" i="14"/>
  <c r="H1756" i="14" a="1"/>
  <c r="H4314" i="14" a="1"/>
  <c r="G3880" i="14"/>
  <c r="G3967" i="14"/>
  <c r="F3272" i="14"/>
  <c r="H1036" i="14" a="1"/>
  <c r="H4923" i="14" a="1"/>
  <c r="F3707" i="14"/>
  <c r="G2207" i="14"/>
  <c r="G1127" i="14"/>
  <c r="H856" i="14" a="1"/>
  <c r="G4141" i="14"/>
  <c r="G3358" i="14"/>
  <c r="H3270" i="14" a="1"/>
  <c r="G3706" i="14"/>
  <c r="G4054" i="14"/>
  <c r="H3966" i="14" a="1"/>
  <c r="G1937" i="14"/>
  <c r="F3794" i="14"/>
  <c r="F4838" i="14"/>
  <c r="G5011" i="14"/>
  <c r="H1306" i="14" a="1"/>
  <c r="F4577" i="14"/>
  <c r="H676" i="14" a="1"/>
  <c r="G3619" i="14"/>
  <c r="H3618" i="14" a="1"/>
  <c r="G4402" i="14"/>
  <c r="G2027" i="14"/>
  <c r="G1037" i="14"/>
  <c r="G3532" i="14"/>
  <c r="F4316" i="14"/>
  <c r="H4488" i="14" a="1"/>
  <c r="F2589" i="14"/>
  <c r="G4750" i="14"/>
  <c r="F804" i="14"/>
  <c r="G4315" i="14"/>
  <c r="H4575" i="14" a="1"/>
  <c r="G3793" i="14"/>
  <c r="G4837" i="14"/>
  <c r="G3445" i="14"/>
  <c r="H1576" i="14" a="1"/>
  <c r="H3879" i="14" a="1"/>
  <c r="F3881" i="14"/>
  <c r="F5100" i="14"/>
  <c r="H3531" i="14" a="1"/>
  <c r="G767" i="14"/>
  <c r="F3446" i="14"/>
  <c r="H1486" i="14" a="1"/>
  <c r="G1847" i="14"/>
  <c r="F5012" i="14"/>
  <c r="H946" i="14" a="1"/>
  <c r="G1757" i="14"/>
  <c r="F3968" i="14"/>
  <c r="G2297" i="14"/>
  <c r="H1936" i="14" a="1"/>
  <c r="H3444" i="14" a="1"/>
  <c r="G677" i="14"/>
  <c r="H1126" i="14" a="1"/>
  <c r="H3792" i="14" a="1"/>
  <c r="F676" i="14"/>
  <c r="G5099" i="14"/>
  <c r="G857" i="14"/>
  <c r="H2567" i="14" a="1"/>
  <c r="H2386" i="14" a="1"/>
  <c r="H3705" i="14" a="1"/>
  <c r="G1217" i="14"/>
  <c r="G4924" i="14"/>
  <c r="H3357" i="14" a="1"/>
  <c r="G4663" i="14"/>
  <c r="F4751" i="14"/>
  <c r="H4749" i="14" a="1"/>
  <c r="G1487" i="14"/>
  <c r="G2568" i="14"/>
  <c r="F3533" i="14"/>
  <c r="H4836" i="14" a="1"/>
  <c r="G1577" i="14"/>
  <c r="H4227" i="14" a="1"/>
  <c r="H1846" i="14" a="1"/>
  <c r="G4489" i="14"/>
  <c r="G1667" i="14"/>
  <c r="G4228" i="14"/>
  <c r="F3359" i="14"/>
  <c r="H2296" i="14" a="1"/>
  <c r="G2387" i="14"/>
  <c r="F869" i="14"/>
  <c r="G3271" i="14"/>
  <c r="F4055" i="14"/>
  <c r="H2116" i="14" a="1"/>
  <c r="H4140" i="14" a="1"/>
  <c r="G2477" i="14"/>
  <c r="H4053" i="14" a="1"/>
  <c r="H4662" i="14" a="1"/>
  <c r="H1666" i="14" a="1"/>
  <c r="G4576" i="14"/>
  <c r="H4401" i="14" a="1"/>
  <c r="F4490" i="14"/>
  <c r="H4575" i="14" l="1"/>
  <c r="H1396" i="14"/>
  <c r="H1846" i="14"/>
  <c r="H4662" i="14"/>
  <c r="H4314" i="14"/>
  <c r="H1576" i="14"/>
  <c r="H676" i="14"/>
  <c r="H4923" i="14"/>
  <c r="H2116" i="14"/>
  <c r="H3705" i="14"/>
  <c r="H4749" i="14"/>
  <c r="H3618" i="14"/>
  <c r="H5098" i="14"/>
  <c r="H766" i="14"/>
  <c r="H4140" i="14"/>
  <c r="H3792" i="14"/>
  <c r="H1306" i="14"/>
  <c r="H1666" i="14"/>
  <c r="H2386" i="14"/>
  <c r="H4227" i="14"/>
  <c r="H3879" i="14"/>
  <c r="H4488" i="14"/>
  <c r="H4836" i="14"/>
  <c r="H946" i="14"/>
  <c r="H3270" i="14"/>
  <c r="H5010" i="14"/>
  <c r="H3444" i="14"/>
  <c r="H856" i="14"/>
  <c r="H1216" i="14"/>
  <c r="H2296" i="14"/>
  <c r="H3357" i="14"/>
  <c r="H2026" i="14"/>
  <c r="H1036" i="14"/>
  <c r="H1486" i="14"/>
  <c r="H3531" i="14"/>
  <c r="H2567" i="14"/>
  <c r="H4053" i="14"/>
  <c r="H3966" i="14"/>
  <c r="H1756" i="14"/>
  <c r="H4401" i="14"/>
  <c r="H1126" i="14"/>
  <c r="H2476" i="14"/>
  <c r="H2206" i="14"/>
  <c r="H1936" i="14"/>
  <c r="C4926" i="14"/>
  <c r="B3883" i="14"/>
  <c r="C4404" i="14"/>
  <c r="B5101" i="14"/>
  <c r="C1669" i="14"/>
  <c r="C3360" i="14"/>
  <c r="B4405" i="14"/>
  <c r="C4839" i="14"/>
  <c r="C1849" i="14"/>
  <c r="C3534" i="14"/>
  <c r="C1309" i="14"/>
  <c r="B4753" i="14"/>
  <c r="C1219" i="14"/>
  <c r="C1129" i="14"/>
  <c r="C4317" i="14"/>
  <c r="B4492" i="14"/>
  <c r="C4230" i="14"/>
  <c r="B3709" i="14"/>
  <c r="B4231" i="14"/>
  <c r="C4752" i="14"/>
  <c r="B5014" i="14"/>
  <c r="B4057" i="14"/>
  <c r="C949" i="14"/>
  <c r="C1039" i="14"/>
  <c r="C2209" i="14"/>
  <c r="B4840" i="14"/>
  <c r="B4144" i="14"/>
  <c r="C859" i="14"/>
  <c r="C2119" i="14"/>
  <c r="B2498" i="14"/>
  <c r="B3796" i="14"/>
  <c r="C4056" i="14"/>
  <c r="B3448" i="14"/>
  <c r="C679" i="14"/>
  <c r="C769" i="14"/>
  <c r="B4318" i="14"/>
  <c r="C1489" i="14"/>
  <c r="C2029" i="14"/>
  <c r="C1939" i="14"/>
  <c r="C4143" i="14"/>
  <c r="B3970" i="14"/>
  <c r="C3447" i="14"/>
  <c r="C2389" i="14"/>
  <c r="B3535" i="14"/>
  <c r="B742" i="14"/>
  <c r="B678" i="14"/>
  <c r="C2479" i="14"/>
  <c r="B4666" i="14"/>
  <c r="C3882" i="14"/>
  <c r="C3795" i="14"/>
  <c r="C5100" i="14"/>
  <c r="B3622" i="14"/>
  <c r="C1579" i="14"/>
  <c r="C1399" i="14"/>
  <c r="C3621" i="14"/>
  <c r="B4927" i="14"/>
  <c r="C1759" i="14"/>
  <c r="C3708" i="14"/>
  <c r="B4579" i="14"/>
  <c r="C4491" i="14"/>
  <c r="C4578" i="14"/>
  <c r="C3969" i="14"/>
  <c r="C5013" i="14"/>
  <c r="B806" i="14"/>
  <c r="C4665" i="14"/>
  <c r="B870" i="14"/>
  <c r="C2299" i="14"/>
  <c r="C2569" i="14"/>
  <c r="H4837" i="14" a="1"/>
  <c r="H5099" i="14" a="1"/>
  <c r="F4404" i="14"/>
  <c r="H2027" i="14" a="1"/>
  <c r="F870" i="14"/>
  <c r="F4317" i="14"/>
  <c r="G3881" i="14"/>
  <c r="H3358" i="14" a="1"/>
  <c r="G1488" i="14"/>
  <c r="G2118" i="14"/>
  <c r="G5100" i="14"/>
  <c r="F3795" i="14"/>
  <c r="G4403" i="14"/>
  <c r="H3880" i="14" a="1"/>
  <c r="F4926" i="14"/>
  <c r="H4054" i="14" a="1"/>
  <c r="H2207" i="14" a="1"/>
  <c r="G2028" i="14"/>
  <c r="H1307" i="14" a="1"/>
  <c r="G4055" i="14"/>
  <c r="G1578" i="14"/>
  <c r="F3708" i="14"/>
  <c r="G1218" i="14"/>
  <c r="G1398" i="14"/>
  <c r="G1938" i="14"/>
  <c r="G2569" i="14"/>
  <c r="H2297" i="14" a="1"/>
  <c r="F5013" i="14"/>
  <c r="H1127" i="14" a="1"/>
  <c r="F4665" i="14"/>
  <c r="H4576" i="14" a="1"/>
  <c r="H2387" i="14" a="1"/>
  <c r="G3272" i="14"/>
  <c r="H1577" i="14" a="1"/>
  <c r="G948" i="14"/>
  <c r="H3793" i="14" a="1"/>
  <c r="G1758" i="14"/>
  <c r="F3534" i="14"/>
  <c r="G5012" i="14"/>
  <c r="F3882" i="14"/>
  <c r="G3533" i="14"/>
  <c r="H3532" i="14" a="1"/>
  <c r="F5101" i="14"/>
  <c r="H3445" i="14" a="1"/>
  <c r="H5011" i="14" a="1"/>
  <c r="H1757" i="14" a="1"/>
  <c r="F4491" i="14"/>
  <c r="H947" i="14" a="1"/>
  <c r="F3360" i="14"/>
  <c r="H4489" i="14" a="1"/>
  <c r="F3447" i="14"/>
  <c r="G3794" i="14"/>
  <c r="G768" i="14"/>
  <c r="F3969" i="14"/>
  <c r="H1667" i="14" a="1"/>
  <c r="H3967" i="14" a="1"/>
  <c r="G4490" i="14"/>
  <c r="H677" i="14" a="1"/>
  <c r="F4578" i="14"/>
  <c r="G3620" i="14"/>
  <c r="H1487" i="14" a="1"/>
  <c r="G1038" i="14"/>
  <c r="H2117" i="14" a="1"/>
  <c r="G3968" i="14"/>
  <c r="G3446" i="14"/>
  <c r="G858" i="14"/>
  <c r="H4402" i="14" a="1"/>
  <c r="F2497" i="14"/>
  <c r="H4663" i="14" a="1"/>
  <c r="G4751" i="14"/>
  <c r="G4925" i="14"/>
  <c r="G3707" i="14"/>
  <c r="G1128" i="14"/>
  <c r="F677" i="14"/>
  <c r="G2388" i="14"/>
  <c r="H4141" i="14" a="1"/>
  <c r="G1848" i="14"/>
  <c r="F4752" i="14"/>
  <c r="H4228" i="14" a="1"/>
  <c r="H3706" i="14" a="1"/>
  <c r="F741" i="14"/>
  <c r="F4230" i="14"/>
  <c r="G3359" i="14"/>
  <c r="G4577" i="14"/>
  <c r="G2208" i="14"/>
  <c r="G2298" i="14"/>
  <c r="F805" i="14"/>
  <c r="G4664" i="14"/>
  <c r="H1397" i="14" a="1"/>
  <c r="H857" i="14" a="1"/>
  <c r="H4750" i="14" a="1"/>
  <c r="G678" i="14"/>
  <c r="G4229" i="14"/>
  <c r="H1037" i="14" a="1"/>
  <c r="H767" i="14" a="1"/>
  <c r="H2477" i="14" a="1"/>
  <c r="H3619" i="14" a="1"/>
  <c r="H4924" i="14" a="1"/>
  <c r="G4316" i="14"/>
  <c r="G4142" i="14"/>
  <c r="G2478" i="14"/>
  <c r="H1847" i="14" a="1"/>
  <c r="F3621" i="14"/>
  <c r="H3271" i="14" a="1"/>
  <c r="G1668" i="14"/>
  <c r="F4056" i="14"/>
  <c r="G4838" i="14"/>
  <c r="H4315" i="14" a="1"/>
  <c r="F4143" i="14"/>
  <c r="H1937" i="14" a="1"/>
  <c r="F4839" i="14"/>
  <c r="H1217" i="14" a="1"/>
  <c r="G1308" i="14"/>
  <c r="H2568" i="14" a="1"/>
  <c r="H1937" i="14" l="1"/>
  <c r="H1037" i="14"/>
  <c r="H1757" i="14"/>
  <c r="H4663" i="14"/>
  <c r="H677" i="14"/>
  <c r="H4924" i="14"/>
  <c r="H3271" i="14"/>
  <c r="H1217" i="14"/>
  <c r="H1847" i="14"/>
  <c r="H1487" i="14"/>
  <c r="H2387" i="14"/>
  <c r="H1397" i="14"/>
  <c r="H3445" i="14"/>
  <c r="H4750" i="14"/>
  <c r="H3706" i="14"/>
  <c r="H3358" i="14"/>
  <c r="H767" i="14"/>
  <c r="H947" i="14"/>
  <c r="H2207" i="14"/>
  <c r="H5011" i="14"/>
  <c r="H1127" i="14"/>
  <c r="H3967" i="14"/>
  <c r="H3619" i="14"/>
  <c r="H4228" i="14"/>
  <c r="H2117" i="14"/>
  <c r="H1577" i="14"/>
  <c r="H5099" i="14"/>
  <c r="H4576" i="14"/>
  <c r="H3880" i="14"/>
  <c r="H3532" i="14"/>
  <c r="H4402" i="14"/>
  <c r="H2477" i="14"/>
  <c r="H4489" i="14"/>
  <c r="H1307" i="14"/>
  <c r="H4315" i="14"/>
  <c r="H4054" i="14"/>
  <c r="H2568" i="14"/>
  <c r="H2297" i="14"/>
  <c r="H1667" i="14"/>
  <c r="H857" i="14"/>
  <c r="H3793" i="14"/>
  <c r="H2027" i="14"/>
  <c r="H4141" i="14"/>
  <c r="H4837" i="14"/>
  <c r="C1940" i="14"/>
  <c r="C2030" i="14"/>
  <c r="C860" i="14"/>
  <c r="B2499" i="14"/>
  <c r="B4928" i="14"/>
  <c r="C3622" i="14"/>
  <c r="C2390" i="14"/>
  <c r="C5101" i="14"/>
  <c r="B4667" i="14"/>
  <c r="C3709" i="14"/>
  <c r="C2570" i="14"/>
  <c r="C3535" i="14"/>
  <c r="C2120" i="14"/>
  <c r="C770" i="14"/>
  <c r="B4145" i="14"/>
  <c r="B3797" i="14"/>
  <c r="C1220" i="14"/>
  <c r="C3448" i="14"/>
  <c r="B3971" i="14"/>
  <c r="C2210" i="14"/>
  <c r="C1310" i="14"/>
  <c r="C5014" i="14"/>
  <c r="C1850" i="14"/>
  <c r="C3970" i="14"/>
  <c r="B807" i="14"/>
  <c r="C1580" i="14"/>
  <c r="C950" i="14"/>
  <c r="C4840" i="14"/>
  <c r="C4753" i="14"/>
  <c r="C4666" i="14"/>
  <c r="C1670" i="14"/>
  <c r="C4144" i="14"/>
  <c r="C1130" i="14"/>
  <c r="B4580" i="14"/>
  <c r="B4841" i="14"/>
  <c r="C4927" i="14"/>
  <c r="C3796" i="14"/>
  <c r="B743" i="14"/>
  <c r="B679" i="14"/>
  <c r="B4754" i="14"/>
  <c r="B3623" i="14"/>
  <c r="C4231" i="14"/>
  <c r="B4406" i="14"/>
  <c r="B4232" i="14"/>
  <c r="C1040" i="14"/>
  <c r="C1400" i="14"/>
  <c r="C4057" i="14"/>
  <c r="C4318" i="14"/>
  <c r="C1760" i="14"/>
  <c r="C1490" i="14"/>
  <c r="C3883" i="14"/>
  <c r="B4058" i="14"/>
  <c r="B3536" i="14"/>
  <c r="C2300" i="14"/>
  <c r="B5102" i="14"/>
  <c r="B871" i="14"/>
  <c r="C4579" i="14"/>
  <c r="B5015" i="14"/>
  <c r="B3710" i="14"/>
  <c r="C2480" i="14"/>
  <c r="B3884" i="14"/>
  <c r="B4319" i="14"/>
  <c r="C4405" i="14"/>
  <c r="B4493" i="14"/>
  <c r="C4492" i="14"/>
  <c r="H4577" i="14" a="1"/>
  <c r="H4490" i="14" a="1"/>
  <c r="H1308" i="14" a="1"/>
  <c r="G2299" i="14"/>
  <c r="H4229" i="14" a="1"/>
  <c r="G4839" i="14"/>
  <c r="F678" i="14"/>
  <c r="H4925" i="14" a="1"/>
  <c r="G4926" i="14"/>
  <c r="H1128" i="14" a="1"/>
  <c r="H1758" i="14" a="1"/>
  <c r="H3359" i="14" a="1"/>
  <c r="G5013" i="14"/>
  <c r="F4579" i="14"/>
  <c r="G1669" i="14"/>
  <c r="G1039" i="14"/>
  <c r="F4666" i="14"/>
  <c r="F3970" i="14"/>
  <c r="H2208" i="14" a="1"/>
  <c r="H3968" i="14" a="1"/>
  <c r="G2209" i="14"/>
  <c r="H4403" i="14" a="1"/>
  <c r="H1488" i="14" a="1"/>
  <c r="H2569" i="14" a="1"/>
  <c r="H3446" i="14" a="1"/>
  <c r="F3535" i="14"/>
  <c r="H2388" i="14" a="1"/>
  <c r="H3620" i="14" a="1"/>
  <c r="G769" i="14"/>
  <c r="H5012" i="14" a="1"/>
  <c r="G4665" i="14"/>
  <c r="H3533" i="14" a="1"/>
  <c r="G679" i="14"/>
  <c r="F871" i="14"/>
  <c r="H3707" i="14" a="1"/>
  <c r="H1938" i="14" a="1"/>
  <c r="H768" i="14" a="1"/>
  <c r="H2298" i="14" a="1"/>
  <c r="H678" i="14" a="1"/>
  <c r="G4404" i="14"/>
  <c r="F3796" i="14"/>
  <c r="F5014" i="14"/>
  <c r="G1939" i="14"/>
  <c r="G4752" i="14"/>
  <c r="G3621" i="14"/>
  <c r="G1399" i="14"/>
  <c r="F2499" i="14"/>
  <c r="G4578" i="14"/>
  <c r="G2119" i="14"/>
  <c r="H4838" i="14" a="1"/>
  <c r="F2498" i="14"/>
  <c r="H4142" i="14" a="1"/>
  <c r="H4316" i="14" a="1"/>
  <c r="F806" i="14"/>
  <c r="H948" i="14" a="1"/>
  <c r="H5100" i="14" a="1"/>
  <c r="H1038" i="14" a="1"/>
  <c r="G1579" i="14"/>
  <c r="G3534" i="14"/>
  <c r="F4753" i="14"/>
  <c r="H1668" i="14" a="1"/>
  <c r="G3360" i="14"/>
  <c r="F4405" i="14"/>
  <c r="H1848" i="14" a="1"/>
  <c r="H1578" i="14" a="1"/>
  <c r="H4751" i="14" a="1"/>
  <c r="G3795" i="14"/>
  <c r="H2478" i="14" a="1"/>
  <c r="F4927" i="14"/>
  <c r="G3882" i="14"/>
  <c r="G4317" i="14"/>
  <c r="F4144" i="14"/>
  <c r="H3794" i="14" a="1"/>
  <c r="G2029" i="14"/>
  <c r="G2479" i="14"/>
  <c r="G1219" i="14"/>
  <c r="G1309" i="14"/>
  <c r="G859" i="14"/>
  <c r="G2570" i="14"/>
  <c r="G1489" i="14"/>
  <c r="F4057" i="14"/>
  <c r="H858" i="14" a="1"/>
  <c r="F4318" i="14"/>
  <c r="F5102" i="14"/>
  <c r="G1759" i="14"/>
  <c r="G4143" i="14"/>
  <c r="H2118" i="14" a="1"/>
  <c r="G4230" i="14"/>
  <c r="G4491" i="14"/>
  <c r="G2389" i="14"/>
  <c r="G3447" i="14"/>
  <c r="F742" i="14"/>
  <c r="G5101" i="14"/>
  <c r="H3272" i="14" a="1"/>
  <c r="G4056" i="14"/>
  <c r="H4664" i="14" a="1"/>
  <c r="H1398" i="14" a="1"/>
  <c r="F4492" i="14"/>
  <c r="F4840" i="14"/>
  <c r="F3883" i="14"/>
  <c r="G1849" i="14"/>
  <c r="F3622" i="14"/>
  <c r="H1218" i="14" a="1"/>
  <c r="F3448" i="14"/>
  <c r="G3708" i="14"/>
  <c r="G1129" i="14"/>
  <c r="G3969" i="14"/>
  <c r="F4231" i="14"/>
  <c r="H2028" i="14" a="1"/>
  <c r="H3881" i="14" a="1"/>
  <c r="G949" i="14"/>
  <c r="F3709" i="14"/>
  <c r="H4055" i="14" a="1"/>
  <c r="H1038" i="14" l="1"/>
  <c r="H858" i="14"/>
  <c r="H2298" i="14"/>
  <c r="H1578" i="14"/>
  <c r="H1848" i="14"/>
  <c r="H1668" i="14"/>
  <c r="H2028" i="14"/>
  <c r="H5012" i="14"/>
  <c r="H3620" i="14"/>
  <c r="H2478" i="14"/>
  <c r="H1758" i="14"/>
  <c r="H4751" i="14"/>
  <c r="H3707" i="14"/>
  <c r="H3533" i="14"/>
  <c r="H1218" i="14"/>
  <c r="H4490" i="14"/>
  <c r="H4577" i="14"/>
  <c r="H678" i="14"/>
  <c r="H2388" i="14"/>
  <c r="H1938" i="14"/>
  <c r="H4925" i="14"/>
  <c r="H4229" i="14"/>
  <c r="H1398" i="14"/>
  <c r="H4055" i="14"/>
  <c r="H2569" i="14"/>
  <c r="H3359" i="14"/>
  <c r="H4142" i="14"/>
  <c r="H3881" i="14"/>
  <c r="H948" i="14"/>
  <c r="H3446" i="14"/>
  <c r="H2118" i="14"/>
  <c r="H1308" i="14"/>
  <c r="H3968" i="14"/>
  <c r="H5100" i="14"/>
  <c r="H2208" i="14"/>
  <c r="H768" i="14"/>
  <c r="H4403" i="14"/>
  <c r="H4838" i="14"/>
  <c r="H3794" i="14"/>
  <c r="H4316" i="14"/>
  <c r="H4664" i="14"/>
  <c r="H1488" i="14"/>
  <c r="H3272" i="14"/>
  <c r="H1128" i="14"/>
  <c r="B4407" i="14"/>
  <c r="C4841" i="14"/>
  <c r="C1401" i="14"/>
  <c r="C1851" i="14"/>
  <c r="B3711" i="14"/>
  <c r="C4493" i="14"/>
  <c r="C3971" i="14"/>
  <c r="B744" i="14"/>
  <c r="B4668" i="14"/>
  <c r="C861" i="14"/>
  <c r="C2121" i="14"/>
  <c r="C2391" i="14"/>
  <c r="C4319" i="14"/>
  <c r="B808" i="14"/>
  <c r="C4754" i="14"/>
  <c r="C1671" i="14"/>
  <c r="C5102" i="14"/>
  <c r="C3536" i="14"/>
  <c r="C3797" i="14"/>
  <c r="C3710" i="14"/>
  <c r="C1221" i="14"/>
  <c r="C3884" i="14"/>
  <c r="B872" i="14"/>
  <c r="B3972" i="14"/>
  <c r="C4667" i="14"/>
  <c r="C1131" i="14"/>
  <c r="C4232" i="14"/>
  <c r="B3885" i="14"/>
  <c r="C3623" i="14"/>
  <c r="B4146" i="14"/>
  <c r="B4842" i="14"/>
  <c r="C5015" i="14"/>
  <c r="C4928" i="14"/>
  <c r="C4058" i="14"/>
  <c r="C2301" i="14"/>
  <c r="C1491" i="14"/>
  <c r="B5016" i="14"/>
  <c r="C2211" i="14"/>
  <c r="C2031" i="14"/>
  <c r="B4581" i="14"/>
  <c r="C2571" i="14"/>
  <c r="C4406" i="14"/>
  <c r="B4320" i="14"/>
  <c r="C1041" i="14"/>
  <c r="C2481" i="14"/>
  <c r="C951" i="14"/>
  <c r="B5103" i="14"/>
  <c r="C1581" i="14"/>
  <c r="C1311" i="14"/>
  <c r="B4755" i="14"/>
  <c r="C4580" i="14"/>
  <c r="B3624" i="14"/>
  <c r="B3798" i="14"/>
  <c r="C4145" i="14"/>
  <c r="B4494" i="14"/>
  <c r="B4929" i="14"/>
  <c r="C1761" i="14"/>
  <c r="C1941" i="14"/>
  <c r="B4059" i="14"/>
  <c r="B4233" i="14"/>
  <c r="H1489" i="14" a="1"/>
  <c r="F3884" i="14"/>
  <c r="H4839" i="14" a="1"/>
  <c r="H4926" i="14" a="1"/>
  <c r="H4143" i="14" a="1"/>
  <c r="H1759" i="14" a="1"/>
  <c r="F4058" i="14"/>
  <c r="F4841" i="14"/>
  <c r="H3447" i="14" a="1"/>
  <c r="G1670" i="14"/>
  <c r="H2299" i="14" a="1"/>
  <c r="H1849" i="14" a="1"/>
  <c r="F4145" i="14"/>
  <c r="F3710" i="14"/>
  <c r="H3795" i="14" a="1"/>
  <c r="F4754" i="14"/>
  <c r="H3534" i="14" a="1"/>
  <c r="F4667" i="14"/>
  <c r="G3883" i="14"/>
  <c r="H4404" i="14" a="1"/>
  <c r="F743" i="14"/>
  <c r="G4231" i="14"/>
  <c r="G1940" i="14"/>
  <c r="G1310" i="14"/>
  <c r="H1039" i="14" a="1"/>
  <c r="F4928" i="14"/>
  <c r="F4319" i="14"/>
  <c r="H2389" i="14" a="1"/>
  <c r="F3623" i="14"/>
  <c r="G4057" i="14"/>
  <c r="G1580" i="14"/>
  <c r="H5101" i="14" a="1"/>
  <c r="G1040" i="14"/>
  <c r="G4318" i="14"/>
  <c r="H4230" i="14" a="1"/>
  <c r="G1850" i="14"/>
  <c r="G2210" i="14"/>
  <c r="F4493" i="14"/>
  <c r="H4665" i="14" a="1"/>
  <c r="G2571" i="14"/>
  <c r="G4405" i="14"/>
  <c r="G4144" i="14"/>
  <c r="H4491" i="14" a="1"/>
  <c r="H2029" i="14" a="1"/>
  <c r="H679" i="14" a="1"/>
  <c r="H769" i="14" a="1"/>
  <c r="G3622" i="14"/>
  <c r="F872" i="14"/>
  <c r="G5102" i="14"/>
  <c r="H5013" i="14" a="1"/>
  <c r="G4492" i="14"/>
  <c r="G1760" i="14"/>
  <c r="H1309" i="14" a="1"/>
  <c r="G1220" i="14"/>
  <c r="H2209" i="14" a="1"/>
  <c r="G860" i="14"/>
  <c r="H4578" i="14" a="1"/>
  <c r="H859" i="14" a="1"/>
  <c r="H1219" i="14" a="1"/>
  <c r="H2570" i="14" a="1"/>
  <c r="G4579" i="14"/>
  <c r="G2480" i="14"/>
  <c r="H4317" i="14" a="1"/>
  <c r="G1490" i="14"/>
  <c r="G2120" i="14"/>
  <c r="H3360" i="14" a="1"/>
  <c r="F4406" i="14"/>
  <c r="F4232" i="14"/>
  <c r="G770" i="14"/>
  <c r="F5015" i="14"/>
  <c r="H3969" i="14" a="1"/>
  <c r="G4840" i="14"/>
  <c r="H3882" i="14" a="1"/>
  <c r="G3796" i="14"/>
  <c r="G3448" i="14"/>
  <c r="H2479" i="14" a="1"/>
  <c r="G4927" i="14"/>
  <c r="H3708" i="14" a="1"/>
  <c r="G3535" i="14"/>
  <c r="H3621" i="14" a="1"/>
  <c r="H1399" i="14" a="1"/>
  <c r="H1669" i="14" a="1"/>
  <c r="G5014" i="14"/>
  <c r="F5103" i="14"/>
  <c r="G2390" i="14"/>
  <c r="H1579" i="14" a="1"/>
  <c r="G3709" i="14"/>
  <c r="H4752" i="14" a="1"/>
  <c r="F4580" i="14"/>
  <c r="G1130" i="14"/>
  <c r="H949" i="14" a="1"/>
  <c r="G4666" i="14"/>
  <c r="G950" i="14"/>
  <c r="F807" i="14"/>
  <c r="H1939" i="14" a="1"/>
  <c r="G2300" i="14"/>
  <c r="F3536" i="14"/>
  <c r="G2030" i="14"/>
  <c r="G3970" i="14"/>
  <c r="F3971" i="14"/>
  <c r="F679" i="14"/>
  <c r="H4056" i="14" a="1"/>
  <c r="H2119" i="14" a="1"/>
  <c r="F3797" i="14"/>
  <c r="G1400" i="14"/>
  <c r="H1129" i="14" a="1"/>
  <c r="G4753" i="14"/>
  <c r="H4491" i="14" l="1"/>
  <c r="H4578" i="14"/>
  <c r="H4752" i="14"/>
  <c r="H2299" i="14"/>
  <c r="H1399" i="14"/>
  <c r="H1579" i="14"/>
  <c r="H949" i="14"/>
  <c r="H3534" i="14"/>
  <c r="H3708" i="14"/>
  <c r="H859" i="14"/>
  <c r="H1669" i="14"/>
  <c r="H4230" i="14"/>
  <c r="H4404" i="14"/>
  <c r="H3621" i="14"/>
  <c r="H679" i="14"/>
  <c r="H2570" i="14"/>
  <c r="H3969" i="14"/>
  <c r="H4839" i="14"/>
  <c r="H2479" i="14"/>
  <c r="H1129" i="14"/>
  <c r="H3360" i="14"/>
  <c r="H3882" i="14"/>
  <c r="H5101" i="14"/>
  <c r="H1759" i="14"/>
  <c r="H1219" i="14"/>
  <c r="H4056" i="14"/>
  <c r="H3795" i="14"/>
  <c r="H2389" i="14"/>
  <c r="H1849" i="14"/>
  <c r="H4317" i="14"/>
  <c r="H1039" i="14"/>
  <c r="H5013" i="14"/>
  <c r="H4143" i="14"/>
  <c r="H4926" i="14"/>
  <c r="H2209" i="14"/>
  <c r="H769" i="14"/>
  <c r="H1309" i="14"/>
  <c r="H3447" i="14"/>
  <c r="H4665" i="14"/>
  <c r="H2029" i="14"/>
  <c r="H2119" i="14"/>
  <c r="H1939" i="14"/>
  <c r="H1489" i="14"/>
  <c r="C4320" i="14"/>
  <c r="C4842" i="14"/>
  <c r="C2032" i="14"/>
  <c r="C3624" i="14"/>
  <c r="C4407" i="14"/>
  <c r="B4495" i="14"/>
  <c r="C1852" i="14"/>
  <c r="C1402" i="14"/>
  <c r="C2572" i="14"/>
  <c r="C5016" i="14"/>
  <c r="B4756" i="14"/>
  <c r="B3799" i="14"/>
  <c r="C4668" i="14"/>
  <c r="B4408" i="14"/>
  <c r="C952" i="14"/>
  <c r="C2302" i="14"/>
  <c r="C4929" i="14"/>
  <c r="B4930" i="14"/>
  <c r="B4843" i="14"/>
  <c r="C1042" i="14"/>
  <c r="C4494" i="14"/>
  <c r="B4234" i="14"/>
  <c r="B873" i="14"/>
  <c r="B3886" i="14"/>
  <c r="B5104" i="14"/>
  <c r="C3711" i="14"/>
  <c r="C4755" i="14"/>
  <c r="C1312" i="14"/>
  <c r="B5017" i="14"/>
  <c r="B4669" i="14"/>
  <c r="C1762" i="14"/>
  <c r="B4321" i="14"/>
  <c r="B3712" i="14"/>
  <c r="C1672" i="14"/>
  <c r="C1132" i="14"/>
  <c r="C1582" i="14"/>
  <c r="C5103" i="14"/>
  <c r="B3973" i="14"/>
  <c r="B4060" i="14"/>
  <c r="C3798" i="14"/>
  <c r="C2482" i="14"/>
  <c r="B809" i="14"/>
  <c r="B745" i="14"/>
  <c r="C1942" i="14"/>
  <c r="C3885" i="14"/>
  <c r="C2212" i="14"/>
  <c r="C1492" i="14"/>
  <c r="C4233" i="14"/>
  <c r="C4146" i="14"/>
  <c r="C1222" i="14"/>
  <c r="C3972" i="14"/>
  <c r="C4581" i="14"/>
  <c r="B4147" i="14"/>
  <c r="B4582" i="14"/>
  <c r="C2122" i="14"/>
  <c r="C2392" i="14"/>
  <c r="C4059" i="14"/>
  <c r="H1490" i="14" a="1"/>
  <c r="G1491" i="14"/>
  <c r="G4232" i="14"/>
  <c r="H4579" i="14" a="1"/>
  <c r="F4407" i="14"/>
  <c r="G2481" i="14"/>
  <c r="F5104" i="14"/>
  <c r="H3883" i="14" a="1"/>
  <c r="F3972" i="14"/>
  <c r="F4668" i="14"/>
  <c r="H1040" i="14" a="1"/>
  <c r="G4928" i="14"/>
  <c r="F4929" i="14"/>
  <c r="H2300" i="14" a="1"/>
  <c r="H950" i="14" a="1"/>
  <c r="F4233" i="14"/>
  <c r="H1310" i="14" a="1"/>
  <c r="G3623" i="14"/>
  <c r="H3622" i="14" a="1"/>
  <c r="H4405" i="14" a="1"/>
  <c r="G3971" i="14"/>
  <c r="G1941" i="14"/>
  <c r="G2031" i="14"/>
  <c r="G4058" i="14"/>
  <c r="H4666" i="14" a="1"/>
  <c r="F873" i="14"/>
  <c r="H770" i="14" a="1"/>
  <c r="H2480" i="14" a="1"/>
  <c r="G2572" i="14"/>
  <c r="H1580" i="14" a="1"/>
  <c r="H3535" i="14" a="1"/>
  <c r="G2391" i="14"/>
  <c r="G2211" i="14"/>
  <c r="G4580" i="14"/>
  <c r="G3884" i="14"/>
  <c r="F4755" i="14"/>
  <c r="H1940" i="14" a="1"/>
  <c r="H2210" i="14" a="1"/>
  <c r="G2301" i="14"/>
  <c r="G3797" i="14"/>
  <c r="G1671" i="14"/>
  <c r="H3448" i="14" a="1"/>
  <c r="F744" i="14"/>
  <c r="H1760" i="14" a="1"/>
  <c r="H4318" i="14" a="1"/>
  <c r="F4581" i="14"/>
  <c r="G1851" i="14"/>
  <c r="G1401" i="14"/>
  <c r="H4144" i="14" a="1"/>
  <c r="G4493" i="14"/>
  <c r="H2030" i="14" a="1"/>
  <c r="F3798" i="14"/>
  <c r="G1221" i="14"/>
  <c r="H1130" i="14" a="1"/>
  <c r="G861" i="14"/>
  <c r="H4753" i="14" a="1"/>
  <c r="F3885" i="14"/>
  <c r="G4841" i="14"/>
  <c r="G4145" i="14"/>
  <c r="H3796" i="14" a="1"/>
  <c r="G3710" i="14"/>
  <c r="G5103" i="14"/>
  <c r="H1670" i="14" a="1"/>
  <c r="G4667" i="14"/>
  <c r="G951" i="14"/>
  <c r="G1131" i="14"/>
  <c r="H4840" i="14" a="1"/>
  <c r="F4842" i="14"/>
  <c r="H4231" i="14" a="1"/>
  <c r="G1311" i="14"/>
  <c r="F4059" i="14"/>
  <c r="G4754" i="14"/>
  <c r="H4057" i="14" a="1"/>
  <c r="F3624" i="14"/>
  <c r="H860" i="14" a="1"/>
  <c r="F808" i="14"/>
  <c r="H3709" i="14" a="1"/>
  <c r="G1581" i="14"/>
  <c r="G4319" i="14"/>
  <c r="F4320" i="14"/>
  <c r="F5016" i="14"/>
  <c r="F4146" i="14"/>
  <c r="G5015" i="14"/>
  <c r="H1400" i="14" a="1"/>
  <c r="H3970" i="14" a="1"/>
  <c r="H2120" i="14" a="1"/>
  <c r="G1761" i="14"/>
  <c r="H4492" i="14" a="1"/>
  <c r="G2121" i="14"/>
  <c r="H1220" i="14" a="1"/>
  <c r="H4927" i="14" a="1"/>
  <c r="H5014" i="14" a="1"/>
  <c r="F4494" i="14"/>
  <c r="H1850" i="14" a="1"/>
  <c r="G4406" i="14"/>
  <c r="H2571" i="14" a="1"/>
  <c r="H5102" i="14" a="1"/>
  <c r="G1041" i="14"/>
  <c r="H2390" i="14" a="1"/>
  <c r="G3536" i="14"/>
  <c r="F3711" i="14"/>
  <c r="H4144" i="14" l="1"/>
  <c r="H5014" i="14"/>
  <c r="H950" i="14"/>
  <c r="H3970" i="14"/>
  <c r="H1490" i="14"/>
  <c r="H4318" i="14"/>
  <c r="H1670" i="14"/>
  <c r="H1850" i="14"/>
  <c r="H1310" i="14"/>
  <c r="H2120" i="14"/>
  <c r="H4753" i="14"/>
  <c r="H770" i="14"/>
  <c r="H2571" i="14"/>
  <c r="H2210" i="14"/>
  <c r="H1040" i="14"/>
  <c r="H4492" i="14"/>
  <c r="H3448" i="14"/>
  <c r="H2480" i="14"/>
  <c r="H4579" i="14"/>
  <c r="H4405" i="14"/>
  <c r="H1220" i="14"/>
  <c r="H3535" i="14"/>
  <c r="H2030" i="14"/>
  <c r="H1580" i="14"/>
  <c r="H3796" i="14"/>
  <c r="H4057" i="14"/>
  <c r="H5102" i="14"/>
  <c r="H2300" i="14"/>
  <c r="H1400" i="14"/>
  <c r="H4666" i="14"/>
  <c r="H1760" i="14"/>
  <c r="H860" i="14"/>
  <c r="H3883" i="14"/>
  <c r="H4840" i="14"/>
  <c r="H4927" i="14"/>
  <c r="H1130" i="14"/>
  <c r="H3709" i="14"/>
  <c r="H3622" i="14"/>
  <c r="H1940" i="14"/>
  <c r="H4231" i="14"/>
  <c r="H2390" i="14"/>
  <c r="C4669" i="14"/>
  <c r="C3712" i="14"/>
  <c r="C2033" i="14"/>
  <c r="B4148" i="14"/>
  <c r="C4843" i="14"/>
  <c r="B4844" i="14"/>
  <c r="C3799" i="14"/>
  <c r="B5018" i="14"/>
  <c r="B4496" i="14"/>
  <c r="B4583" i="14"/>
  <c r="C4930" i="14"/>
  <c r="B4670" i="14"/>
  <c r="C1313" i="14"/>
  <c r="C2303" i="14"/>
  <c r="B874" i="14"/>
  <c r="B4061" i="14"/>
  <c r="C1763" i="14"/>
  <c r="B4757" i="14"/>
  <c r="B4322" i="14"/>
  <c r="C5104" i="14"/>
  <c r="C4321" i="14"/>
  <c r="C1223" i="14"/>
  <c r="C1853" i="14"/>
  <c r="C4495" i="14"/>
  <c r="C1403" i="14"/>
  <c r="B3974" i="14"/>
  <c r="C2483" i="14"/>
  <c r="C4060" i="14"/>
  <c r="C1043" i="14"/>
  <c r="C2123" i="14"/>
  <c r="C2213" i="14"/>
  <c r="C1583" i="14"/>
  <c r="B810" i="14"/>
  <c r="B746" i="14"/>
  <c r="B3800" i="14"/>
  <c r="C4147" i="14"/>
  <c r="C3973" i="14"/>
  <c r="C2573" i="14"/>
  <c r="B5105" i="14"/>
  <c r="C4582" i="14"/>
  <c r="C5017" i="14"/>
  <c r="C4756" i="14"/>
  <c r="C4408" i="14"/>
  <c r="C1493" i="14"/>
  <c r="B4931" i="14"/>
  <c r="C1943" i="14"/>
  <c r="B4235" i="14"/>
  <c r="C4234" i="14"/>
  <c r="C3886" i="14"/>
  <c r="C1673" i="14"/>
  <c r="B4409" i="14"/>
  <c r="C1133" i="14"/>
  <c r="C2393" i="14"/>
  <c r="B3887" i="14"/>
  <c r="H4754" i="14" a="1"/>
  <c r="G4233" i="14"/>
  <c r="G3711" i="14"/>
  <c r="H3536" i="14" a="1"/>
  <c r="G4842" i="14"/>
  <c r="H4058" i="14" a="1"/>
  <c r="H2211" i="14" a="1"/>
  <c r="F874" i="14"/>
  <c r="F3712" i="14"/>
  <c r="H3797" i="14" a="1"/>
  <c r="F4408" i="14"/>
  <c r="H5103" i="14" a="1"/>
  <c r="H4493" i="14" a="1"/>
  <c r="H1941" i="14" a="1"/>
  <c r="G1132" i="14"/>
  <c r="G4494" i="14"/>
  <c r="H1041" i="14" a="1"/>
  <c r="H4319" i="14" a="1"/>
  <c r="H5015" i="14" a="1"/>
  <c r="G2573" i="14"/>
  <c r="G2122" i="14"/>
  <c r="H3971" i="14" a="1"/>
  <c r="G4755" i="14"/>
  <c r="G2302" i="14"/>
  <c r="G3798" i="14"/>
  <c r="G1312" i="14"/>
  <c r="G4581" i="14"/>
  <c r="G5104" i="14"/>
  <c r="G4146" i="14"/>
  <c r="H4667" i="14" a="1"/>
  <c r="H4841" i="14" a="1"/>
  <c r="G2392" i="14"/>
  <c r="G2482" i="14"/>
  <c r="F4843" i="14"/>
  <c r="G4320" i="14"/>
  <c r="H1401" i="14" a="1"/>
  <c r="G2212" i="14"/>
  <c r="F809" i="14"/>
  <c r="H4232" i="14" a="1"/>
  <c r="H3623" i="14" a="1"/>
  <c r="G1492" i="14"/>
  <c r="H1671" i="14" a="1"/>
  <c r="H2031" i="14" a="1"/>
  <c r="H2572" i="14" a="1"/>
  <c r="H1131" i="14" a="1"/>
  <c r="F5105" i="14"/>
  <c r="H861" i="14" a="1"/>
  <c r="F3799" i="14"/>
  <c r="H951" i="14" a="1"/>
  <c r="H3710" i="14" a="1"/>
  <c r="F4060" i="14"/>
  <c r="G2032" i="14"/>
  <c r="H2301" i="14" a="1"/>
  <c r="G4059" i="14"/>
  <c r="H1851" i="14" a="1"/>
  <c r="H1221" i="14" a="1"/>
  <c r="F4147" i="14"/>
  <c r="G1672" i="14"/>
  <c r="F4321" i="14"/>
  <c r="H4580" i="14" a="1"/>
  <c r="H4145" i="14" a="1"/>
  <c r="H2121" i="14" a="1"/>
  <c r="H1761" i="14" a="1"/>
  <c r="G3624" i="14"/>
  <c r="F3973" i="14"/>
  <c r="H4928" i="14" a="1"/>
  <c r="G1852" i="14"/>
  <c r="F3886" i="14"/>
  <c r="H3884" i="14" a="1"/>
  <c r="G1222" i="14"/>
  <c r="F4495" i="14"/>
  <c r="F4756" i="14"/>
  <c r="F4582" i="14"/>
  <c r="F4669" i="14"/>
  <c r="G4407" i="14"/>
  <c r="G1582" i="14"/>
  <c r="G1762" i="14"/>
  <c r="F4234" i="14"/>
  <c r="G5016" i="14"/>
  <c r="G3972" i="14"/>
  <c r="F4930" i="14"/>
  <c r="G4668" i="14"/>
  <c r="G1942" i="14"/>
  <c r="G1042" i="14"/>
  <c r="H2481" i="14" a="1"/>
  <c r="F5017" i="14"/>
  <c r="H1311" i="14" a="1"/>
  <c r="F745" i="14"/>
  <c r="G3885" i="14"/>
  <c r="H2391" i="14" a="1"/>
  <c r="G4929" i="14"/>
  <c r="G1402" i="14"/>
  <c r="H1581" i="14" a="1"/>
  <c r="G952" i="14"/>
  <c r="H1491" i="14" a="1"/>
  <c r="H4406" i="14" a="1"/>
  <c r="H1131" i="14" l="1"/>
  <c r="H2121" i="14"/>
  <c r="H1941" i="14"/>
  <c r="H5015" i="14"/>
  <c r="H1671" i="14"/>
  <c r="H4493" i="14"/>
  <c r="H1761" i="14"/>
  <c r="H3971" i="14"/>
  <c r="H4058" i="14"/>
  <c r="H4145" i="14"/>
  <c r="H3710" i="14"/>
  <c r="H4667" i="14"/>
  <c r="H5103" i="14"/>
  <c r="H4319" i="14"/>
  <c r="H1221" i="14"/>
  <c r="H3884" i="14"/>
  <c r="H4232" i="14"/>
  <c r="H2301" i="14"/>
  <c r="H3536" i="14"/>
  <c r="H4928" i="14"/>
  <c r="H1401" i="14"/>
  <c r="H861" i="14"/>
  <c r="H3797" i="14"/>
  <c r="H1041" i="14"/>
  <c r="H2572" i="14"/>
  <c r="H2211" i="14"/>
  <c r="H2031" i="14"/>
  <c r="H4580" i="14"/>
  <c r="H4406" i="14"/>
  <c r="H4754" i="14"/>
  <c r="H1491" i="14"/>
  <c r="H1851" i="14"/>
  <c r="H1311" i="14"/>
  <c r="H1581" i="14"/>
  <c r="H2481" i="14"/>
  <c r="H951" i="14"/>
  <c r="H4841" i="14"/>
  <c r="H2391" i="14"/>
  <c r="H3623" i="14"/>
  <c r="C1854" i="14"/>
  <c r="C1224" i="14"/>
  <c r="C4148" i="14"/>
  <c r="B4149" i="14"/>
  <c r="B4497" i="14"/>
  <c r="C4496" i="14"/>
  <c r="B3888" i="14"/>
  <c r="C2574" i="14"/>
  <c r="C1944" i="14"/>
  <c r="B4410" i="14"/>
  <c r="C2124" i="14"/>
  <c r="C4757" i="14"/>
  <c r="C2484" i="14"/>
  <c r="C3974" i="14"/>
  <c r="C5105" i="14"/>
  <c r="C1674" i="14"/>
  <c r="C4583" i="14"/>
  <c r="B5106" i="14"/>
  <c r="C2304" i="14"/>
  <c r="C5018" i="14"/>
  <c r="B4323" i="14"/>
  <c r="C2214" i="14"/>
  <c r="B4062" i="14"/>
  <c r="B4932" i="14"/>
  <c r="C1494" i="14"/>
  <c r="C1404" i="14"/>
  <c r="B4236" i="14"/>
  <c r="C4670" i="14"/>
  <c r="C2034" i="14"/>
  <c r="B811" i="14"/>
  <c r="B747" i="14"/>
  <c r="C1314" i="14"/>
  <c r="B4845" i="14"/>
  <c r="C2394" i="14"/>
  <c r="B4671" i="14"/>
  <c r="C3800" i="14"/>
  <c r="C4931" i="14"/>
  <c r="B5019" i="14"/>
  <c r="C4061" i="14"/>
  <c r="B4758" i="14"/>
  <c r="C1584" i="14"/>
  <c r="C4322" i="14"/>
  <c r="C4235" i="14"/>
  <c r="C3887" i="14"/>
  <c r="B3975" i="14"/>
  <c r="C1764" i="14"/>
  <c r="C4844" i="14"/>
  <c r="B875" i="14"/>
  <c r="C1134" i="14"/>
  <c r="C4409" i="14"/>
  <c r="B4584" i="14"/>
  <c r="G4930" i="14"/>
  <c r="G4582" i="14"/>
  <c r="H1942" i="14" a="1"/>
  <c r="G1763" i="14"/>
  <c r="F4496" i="14"/>
  <c r="H3798" i="14" a="1"/>
  <c r="F4061" i="14"/>
  <c r="H4320" i="14" a="1"/>
  <c r="G1313" i="14"/>
  <c r="H3624" i="14" a="1"/>
  <c r="G1403" i="14"/>
  <c r="H2482" i="14" a="1"/>
  <c r="G5017" i="14"/>
  <c r="G4060" i="14"/>
  <c r="G2123" i="14"/>
  <c r="G4147" i="14"/>
  <c r="H4146" i="14" a="1"/>
  <c r="G1943" i="14"/>
  <c r="G4843" i="14"/>
  <c r="H3885" i="14" a="1"/>
  <c r="H1762" i="14" a="1"/>
  <c r="F746" i="14"/>
  <c r="G3712" i="14"/>
  <c r="F4931" i="14"/>
  <c r="H3972" i="14" a="1"/>
  <c r="G1853" i="14"/>
  <c r="F4844" i="14"/>
  <c r="G3973" i="14"/>
  <c r="G1493" i="14"/>
  <c r="H4581" i="14" a="1"/>
  <c r="H4494" i="14" a="1"/>
  <c r="F5106" i="14"/>
  <c r="F4235" i="14"/>
  <c r="H4407" i="14" a="1"/>
  <c r="F4322" i="14"/>
  <c r="G4408" i="14"/>
  <c r="H1312" i="14" a="1"/>
  <c r="F4583" i="14"/>
  <c r="G2574" i="14"/>
  <c r="F3974" i="14"/>
  <c r="F4409" i="14"/>
  <c r="H952" i="14" a="1"/>
  <c r="G4669" i="14"/>
  <c r="H1222" i="14" a="1"/>
  <c r="H3711" i="14" a="1"/>
  <c r="G1223" i="14"/>
  <c r="H1492" i="14" a="1"/>
  <c r="F5018" i="14"/>
  <c r="H2302" i="14" a="1"/>
  <c r="F4148" i="14"/>
  <c r="H4929" i="14" a="1"/>
  <c r="G2393" i="14"/>
  <c r="H1402" i="14" a="1"/>
  <c r="H2573" i="14" a="1"/>
  <c r="H1132" i="14" a="1"/>
  <c r="G2303" i="14"/>
  <c r="G1583" i="14"/>
  <c r="H4668" i="14" a="1"/>
  <c r="G4321" i="14"/>
  <c r="H4755" i="14" a="1"/>
  <c r="H2212" i="14" a="1"/>
  <c r="H2122" i="14" a="1"/>
  <c r="H1042" i="14" a="1"/>
  <c r="F3887" i="14"/>
  <c r="F810" i="14"/>
  <c r="F4757" i="14"/>
  <c r="G2483" i="14"/>
  <c r="G1133" i="14"/>
  <c r="H1582" i="14" a="1"/>
  <c r="G3799" i="14"/>
  <c r="H5104" i="14" a="1"/>
  <c r="H1852" i="14" a="1"/>
  <c r="H1672" i="14" a="1"/>
  <c r="G4234" i="14"/>
  <c r="H5016" i="14" a="1"/>
  <c r="G1043" i="14"/>
  <c r="H4233" i="14" a="1"/>
  <c r="F875" i="14"/>
  <c r="G5105" i="14"/>
  <c r="G4756" i="14"/>
  <c r="G3886" i="14"/>
  <c r="H4059" i="14" a="1"/>
  <c r="H2392" i="14" a="1"/>
  <c r="H2032" i="14" a="1"/>
  <c r="G2213" i="14"/>
  <c r="F3800" i="14"/>
  <c r="G1673" i="14"/>
  <c r="H4842" i="14" a="1"/>
  <c r="G2033" i="14"/>
  <c r="G4495" i="14"/>
  <c r="F4670" i="14"/>
  <c r="H2302" i="14" l="1"/>
  <c r="H2212" i="14"/>
  <c r="H1852" i="14"/>
  <c r="H4842" i="14"/>
  <c r="H1942" i="14"/>
  <c r="H2122" i="14"/>
  <c r="H4581" i="14"/>
  <c r="H4146" i="14"/>
  <c r="H2392" i="14"/>
  <c r="H1402" i="14"/>
  <c r="H1762" i="14"/>
  <c r="H1312" i="14"/>
  <c r="H952" i="14"/>
  <c r="H4668" i="14"/>
  <c r="H1582" i="14"/>
  <c r="H1132" i="14"/>
  <c r="H4407" i="14"/>
  <c r="H4320" i="14"/>
  <c r="H4755" i="14"/>
  <c r="H4233" i="14"/>
  <c r="H4059" i="14"/>
  <c r="H5016" i="14"/>
  <c r="H1042" i="14"/>
  <c r="H3624" i="14"/>
  <c r="H2573" i="14"/>
  <c r="H1222" i="14"/>
  <c r="H4929" i="14"/>
  <c r="H5104" i="14"/>
  <c r="H4494" i="14"/>
  <c r="H1492" i="14"/>
  <c r="H2482" i="14"/>
  <c r="H3711" i="14"/>
  <c r="H1672" i="14"/>
  <c r="H2032" i="14"/>
  <c r="H3798" i="14"/>
  <c r="H3885" i="14"/>
  <c r="H3972" i="14"/>
  <c r="B4063" i="14"/>
  <c r="B4933" i="14"/>
  <c r="C4497" i="14"/>
  <c r="C4062" i="14"/>
  <c r="B4498" i="14"/>
  <c r="C1315" i="14"/>
  <c r="C1855" i="14"/>
  <c r="C4410" i="14"/>
  <c r="B5107" i="14"/>
  <c r="C2485" i="14"/>
  <c r="B4585" i="14"/>
  <c r="C1945" i="14"/>
  <c r="C1225" i="14"/>
  <c r="C1675" i="14"/>
  <c r="C2125" i="14"/>
  <c r="C4671" i="14"/>
  <c r="C4845" i="14"/>
  <c r="B4237" i="14"/>
  <c r="C3888" i="14"/>
  <c r="C1405" i="14"/>
  <c r="C4758" i="14"/>
  <c r="B5020" i="14"/>
  <c r="C5106" i="14"/>
  <c r="C1765" i="14"/>
  <c r="B4846" i="14"/>
  <c r="B4324" i="14"/>
  <c r="B3976" i="14"/>
  <c r="C5019" i="14"/>
  <c r="C1585" i="14"/>
  <c r="B4411" i="14"/>
  <c r="C2575" i="14"/>
  <c r="C2035" i="14"/>
  <c r="C3975" i="14"/>
  <c r="B812" i="14"/>
  <c r="B748" i="14"/>
  <c r="B4150" i="14"/>
  <c r="C2395" i="14"/>
  <c r="C2215" i="14"/>
  <c r="C4236" i="14"/>
  <c r="B4672" i="14"/>
  <c r="C4932" i="14"/>
  <c r="C4323" i="14"/>
  <c r="C4149" i="14"/>
  <c r="B4759" i="14"/>
  <c r="B876" i="14"/>
  <c r="C1495" i="14"/>
  <c r="C2305" i="14"/>
  <c r="C4584" i="14"/>
  <c r="H1583" i="14" a="1"/>
  <c r="H3973" i="14" a="1"/>
  <c r="G3887" i="14"/>
  <c r="G2394" i="14"/>
  <c r="F4584" i="14"/>
  <c r="H1403" i="14" a="1"/>
  <c r="G1134" i="14"/>
  <c r="G2484" i="14"/>
  <c r="H2123" i="14" a="1"/>
  <c r="G2214" i="14"/>
  <c r="F3975" i="14"/>
  <c r="G1764" i="14"/>
  <c r="H1313" i="14" a="1"/>
  <c r="H4060" i="14" a="1"/>
  <c r="G4148" i="14"/>
  <c r="H3712" i="14" a="1"/>
  <c r="G4670" i="14"/>
  <c r="H1763" i="14" a="1"/>
  <c r="G4583" i="14"/>
  <c r="H5105" i="14" a="1"/>
  <c r="H1043" i="14" a="1"/>
  <c r="G5106" i="14"/>
  <c r="H1853" i="14" a="1"/>
  <c r="F4062" i="14"/>
  <c r="H2303" i="14" a="1"/>
  <c r="H2483" i="14" a="1"/>
  <c r="G4757" i="14"/>
  <c r="G4235" i="14"/>
  <c r="H4669" i="14" a="1"/>
  <c r="F4236" i="14"/>
  <c r="F4671" i="14"/>
  <c r="H4321" i="14" a="1"/>
  <c r="F5107" i="14"/>
  <c r="G2575" i="14"/>
  <c r="F3888" i="14"/>
  <c r="G4931" i="14"/>
  <c r="F4323" i="14"/>
  <c r="H4930" i="14" a="1"/>
  <c r="H4495" i="14" a="1"/>
  <c r="G1314" i="14"/>
  <c r="H1223" i="14" a="1"/>
  <c r="G1944" i="14"/>
  <c r="F811" i="14"/>
  <c r="F4149" i="14"/>
  <c r="G3800" i="14"/>
  <c r="H4234" i="14" a="1"/>
  <c r="F4497" i="14"/>
  <c r="G1854" i="14"/>
  <c r="G1674" i="14"/>
  <c r="H4582" i="14" a="1"/>
  <c r="H4147" i="14" a="1"/>
  <c r="F4758" i="14"/>
  <c r="H3799" i="14" a="1"/>
  <c r="G1224" i="14"/>
  <c r="F876" i="14"/>
  <c r="H2033" i="14" a="1"/>
  <c r="G1584" i="14"/>
  <c r="G2124" i="14"/>
  <c r="H3886" i="14" a="1"/>
  <c r="H5017" i="14" a="1"/>
  <c r="F4845" i="14"/>
  <c r="G5018" i="14"/>
  <c r="G2304" i="14"/>
  <c r="F5019" i="14"/>
  <c r="F4410" i="14"/>
  <c r="H4843" i="14" a="1"/>
  <c r="G3974" i="14"/>
  <c r="H1133" i="14" a="1"/>
  <c r="F4932" i="14"/>
  <c r="H1673" i="14" a="1"/>
  <c r="F747" i="14"/>
  <c r="H4756" i="14" a="1"/>
  <c r="H1493" i="14" a="1"/>
  <c r="G4844" i="14"/>
  <c r="G1494" i="14"/>
  <c r="G4496" i="14"/>
  <c r="H2213" i="14" a="1"/>
  <c r="G4322" i="14"/>
  <c r="H4408" i="14" a="1"/>
  <c r="G4061" i="14"/>
  <c r="G2034" i="14"/>
  <c r="H2574" i="14" a="1"/>
  <c r="G1404" i="14"/>
  <c r="H1943" i="14" a="1"/>
  <c r="G4409" i="14"/>
  <c r="H2393" i="14" a="1"/>
  <c r="H4930" i="14" l="1"/>
  <c r="H4843" i="14"/>
  <c r="H1673" i="14"/>
  <c r="H4060" i="14"/>
  <c r="H1943" i="14"/>
  <c r="H1493" i="14"/>
  <c r="H2033" i="14"/>
  <c r="H1583" i="14"/>
  <c r="H4321" i="14"/>
  <c r="H5017" i="14"/>
  <c r="H5105" i="14"/>
  <c r="H4582" i="14"/>
  <c r="H4408" i="14"/>
  <c r="H1133" i="14"/>
  <c r="H4234" i="14"/>
  <c r="H2574" i="14"/>
  <c r="H2483" i="14"/>
  <c r="H3799" i="14"/>
  <c r="H3886" i="14"/>
  <c r="H1403" i="14"/>
  <c r="H4669" i="14"/>
  <c r="H1763" i="14"/>
  <c r="H3973" i="14"/>
  <c r="H2213" i="14"/>
  <c r="H1043" i="14"/>
  <c r="H2123" i="14"/>
  <c r="H4147" i="14"/>
  <c r="H1223" i="14"/>
  <c r="H1853" i="14"/>
  <c r="H1313" i="14"/>
  <c r="H4495" i="14"/>
  <c r="H4756" i="14"/>
  <c r="H3712" i="14"/>
  <c r="H2393" i="14"/>
  <c r="H2303" i="14"/>
  <c r="C4411" i="14"/>
  <c r="B4586" i="14"/>
  <c r="C1676" i="14"/>
  <c r="B4934" i="14"/>
  <c r="C4846" i="14"/>
  <c r="C4933" i="14"/>
  <c r="C1316" i="14"/>
  <c r="B4151" i="14"/>
  <c r="C3976" i="14"/>
  <c r="C2396" i="14"/>
  <c r="C4324" i="14"/>
  <c r="C2576" i="14"/>
  <c r="C1586" i="14"/>
  <c r="C2306" i="14"/>
  <c r="C4063" i="14"/>
  <c r="C5020" i="14"/>
  <c r="C2486" i="14"/>
  <c r="C1856" i="14"/>
  <c r="C1496" i="14"/>
  <c r="B813" i="14"/>
  <c r="B749" i="14"/>
  <c r="C1766" i="14"/>
  <c r="B4760" i="14"/>
  <c r="C2126" i="14"/>
  <c r="C5107" i="14"/>
  <c r="C4759" i="14"/>
  <c r="C2036" i="14"/>
  <c r="C4498" i="14"/>
  <c r="C4150" i="14"/>
  <c r="C4237" i="14"/>
  <c r="B877" i="14"/>
  <c r="C1406" i="14"/>
  <c r="B4499" i="14"/>
  <c r="B4412" i="14"/>
  <c r="B5108" i="14"/>
  <c r="B4325" i="14"/>
  <c r="B5021" i="14"/>
  <c r="C4672" i="14"/>
  <c r="B4847" i="14"/>
  <c r="B4238" i="14"/>
  <c r="B4064" i="14"/>
  <c r="C2216" i="14"/>
  <c r="B4673" i="14"/>
  <c r="C1946" i="14"/>
  <c r="C4585" i="14"/>
  <c r="H2214" i="14" a="1"/>
  <c r="F877" i="14"/>
  <c r="F812" i="14"/>
  <c r="G4323" i="14"/>
  <c r="H4148" i="14" a="1"/>
  <c r="H1674" i="14" a="1"/>
  <c r="H3887" i="14" a="1"/>
  <c r="F5020" i="14"/>
  <c r="H1854" i="14" a="1"/>
  <c r="G2305" i="14"/>
  <c r="G1765" i="14"/>
  <c r="H4583" i="14" a="1"/>
  <c r="G2395" i="14"/>
  <c r="G1315" i="14"/>
  <c r="F4237" i="14"/>
  <c r="H4235" i="14" a="1"/>
  <c r="H4409" i="14" a="1"/>
  <c r="F4150" i="14"/>
  <c r="F4759" i="14"/>
  <c r="G5019" i="14"/>
  <c r="H2034" i="14" a="1"/>
  <c r="H2124" i="14" a="1"/>
  <c r="H4322" i="14" a="1"/>
  <c r="G1675" i="14"/>
  <c r="G4149" i="14"/>
  <c r="G1945" i="14"/>
  <c r="G4410" i="14"/>
  <c r="H4061" i="14" a="1"/>
  <c r="G4932" i="14"/>
  <c r="F4498" i="14"/>
  <c r="H4844" i="14" a="1"/>
  <c r="G4497" i="14"/>
  <c r="H1404" i="14" a="1"/>
  <c r="F5108" i="14"/>
  <c r="G1225" i="14"/>
  <c r="G1855" i="14"/>
  <c r="G3888" i="14"/>
  <c r="G5107" i="14"/>
  <c r="H4757" i="14" a="1"/>
  <c r="F4063" i="14"/>
  <c r="G4845" i="14"/>
  <c r="H2575" i="14" a="1"/>
  <c r="G4671" i="14"/>
  <c r="G1495" i="14"/>
  <c r="G1405" i="14"/>
  <c r="F3976" i="14"/>
  <c r="G4236" i="14"/>
  <c r="H1224" i="14" a="1"/>
  <c r="G4758" i="14"/>
  <c r="H1944" i="14" a="1"/>
  <c r="G2035" i="14"/>
  <c r="H1764" i="14" a="1"/>
  <c r="G3975" i="14"/>
  <c r="F748" i="14"/>
  <c r="G2215" i="14"/>
  <c r="H3974" i="14" a="1"/>
  <c r="H3800" i="14" a="1"/>
  <c r="H2394" i="14" a="1"/>
  <c r="H1584" i="14" a="1"/>
  <c r="H2484" i="14" a="1"/>
  <c r="H5106" i="14" a="1"/>
  <c r="H5018" i="14" a="1"/>
  <c r="G4584" i="14"/>
  <c r="G4062" i="14"/>
  <c r="H1314" i="14" a="1"/>
  <c r="H4496" i="14" a="1"/>
  <c r="H1134" i="14" a="1"/>
  <c r="H1494" i="14" a="1"/>
  <c r="F4672" i="14"/>
  <c r="F4411" i="14"/>
  <c r="H2304" i="14" a="1"/>
  <c r="G2485" i="14"/>
  <c r="H4670" i="14" a="1"/>
  <c r="G1585" i="14"/>
  <c r="G2125" i="14"/>
  <c r="F4585" i="14"/>
  <c r="F4846" i="14"/>
  <c r="H4931" i="14" a="1"/>
  <c r="F4324" i="14"/>
  <c r="G2576" i="14"/>
  <c r="F4933" i="14"/>
  <c r="H2124" i="14" l="1"/>
  <c r="H2304" i="14"/>
  <c r="H2034" i="14"/>
  <c r="H4844" i="14"/>
  <c r="H1674" i="14"/>
  <c r="H4148" i="14"/>
  <c r="H1404" i="14"/>
  <c r="H1134" i="14"/>
  <c r="H3800" i="14"/>
  <c r="H4496" i="14"/>
  <c r="H3974" i="14"/>
  <c r="H1584" i="14"/>
  <c r="H1224" i="14"/>
  <c r="H4931" i="14"/>
  <c r="H4061" i="14"/>
  <c r="H5018" i="14"/>
  <c r="H1764" i="14"/>
  <c r="H5106" i="14"/>
  <c r="H1944" i="14"/>
  <c r="H1314" i="14"/>
  <c r="H4757" i="14"/>
  <c r="H4670" i="14"/>
  <c r="H4322" i="14"/>
  <c r="H4409" i="14"/>
  <c r="H2575" i="14"/>
  <c r="H4235" i="14"/>
  <c r="H1854" i="14"/>
  <c r="H2484" i="14"/>
  <c r="H3887" i="14"/>
  <c r="H1494" i="14"/>
  <c r="H2394" i="14"/>
  <c r="H4583" i="14"/>
  <c r="H2214" i="14"/>
  <c r="C2037" i="14"/>
  <c r="C4151" i="14"/>
  <c r="C4412" i="14"/>
  <c r="B4848" i="14"/>
  <c r="C4325" i="14"/>
  <c r="C1857" i="14"/>
  <c r="C2397" i="14"/>
  <c r="C5021" i="14"/>
  <c r="C1497" i="14"/>
  <c r="C1407" i="14"/>
  <c r="C1767" i="14"/>
  <c r="B4935" i="14"/>
  <c r="C2127" i="14"/>
  <c r="C2307" i="14"/>
  <c r="C4760" i="14"/>
  <c r="B4500" i="14"/>
  <c r="C4847" i="14"/>
  <c r="C4499" i="14"/>
  <c r="C4586" i="14"/>
  <c r="B878" i="14"/>
  <c r="B4413" i="14"/>
  <c r="C1947" i="14"/>
  <c r="B4152" i="14"/>
  <c r="C2577" i="14"/>
  <c r="C1677" i="14"/>
  <c r="C4064" i="14"/>
  <c r="C4934" i="14"/>
  <c r="B4326" i="14"/>
  <c r="C2217" i="14"/>
  <c r="C1587" i="14"/>
  <c r="B4761" i="14"/>
  <c r="C2487" i="14"/>
  <c r="B4674" i="14"/>
  <c r="C4673" i="14"/>
  <c r="B5109" i="14"/>
  <c r="B4587" i="14"/>
  <c r="C4238" i="14"/>
  <c r="B814" i="14"/>
  <c r="B750" i="14"/>
  <c r="C5108" i="14"/>
  <c r="B4239" i="14"/>
  <c r="B5022" i="14"/>
  <c r="G4498" i="14"/>
  <c r="F4151" i="14"/>
  <c r="H4932" i="14" a="1"/>
  <c r="F4847" i="14"/>
  <c r="F813" i="14"/>
  <c r="G4063" i="14"/>
  <c r="H4497" i="14" a="1"/>
  <c r="H1315" i="14" a="1"/>
  <c r="H4584" i="14" a="1"/>
  <c r="H3888" i="14" a="1"/>
  <c r="H5107" i="14" a="1"/>
  <c r="H2485" i="14" a="1"/>
  <c r="G2126" i="14"/>
  <c r="H2576" i="14" a="1"/>
  <c r="H2125" i="14" a="1"/>
  <c r="H4149" i="14" a="1"/>
  <c r="H1405" i="14" a="1"/>
  <c r="G4585" i="14"/>
  <c r="H2305" i="14" a="1"/>
  <c r="H1855" i="14" a="1"/>
  <c r="G4672" i="14"/>
  <c r="G1586" i="14"/>
  <c r="G2216" i="14"/>
  <c r="H2395" i="14" a="1"/>
  <c r="F749" i="14"/>
  <c r="G1676" i="14"/>
  <c r="F4325" i="14"/>
  <c r="F5021" i="14"/>
  <c r="G2306" i="14"/>
  <c r="F4064" i="14"/>
  <c r="F4412" i="14"/>
  <c r="G5020" i="14"/>
  <c r="G2396" i="14"/>
  <c r="F4760" i="14"/>
  <c r="G4411" i="14"/>
  <c r="G5108" i="14"/>
  <c r="G4150" i="14"/>
  <c r="H4758" i="14" a="1"/>
  <c r="F4238" i="14"/>
  <c r="G1946" i="14"/>
  <c r="H4323" i="14" a="1"/>
  <c r="G2036" i="14"/>
  <c r="G2486" i="14"/>
  <c r="H5019" i="14" a="1"/>
  <c r="H2035" i="14" a="1"/>
  <c r="H2215" i="14" a="1"/>
  <c r="G1496" i="14"/>
  <c r="H3975" i="14" a="1"/>
  <c r="H1225" i="14" a="1"/>
  <c r="H1495" i="14" a="1"/>
  <c r="H1675" i="14" a="1"/>
  <c r="G1316" i="14"/>
  <c r="H4410" i="14" a="1"/>
  <c r="H1945" i="14" a="1"/>
  <c r="H4671" i="14" a="1"/>
  <c r="H1765" i="14" a="1"/>
  <c r="F4499" i="14"/>
  <c r="H4845" i="14" a="1"/>
  <c r="G1406" i="14"/>
  <c r="G4759" i="14"/>
  <c r="H4236" i="14" a="1"/>
  <c r="G1766" i="14"/>
  <c r="F4934" i="14"/>
  <c r="G4237" i="14"/>
  <c r="F4673" i="14"/>
  <c r="F878" i="14"/>
  <c r="G4933" i="14"/>
  <c r="G2577" i="14"/>
  <c r="F5109" i="14"/>
  <c r="F4586" i="14"/>
  <c r="H4062" i="14" a="1"/>
  <c r="G4324" i="14"/>
  <c r="G3976" i="14"/>
  <c r="G1856" i="14"/>
  <c r="G4846" i="14"/>
  <c r="H1585" i="14" a="1"/>
  <c r="H2395" i="14" l="1"/>
  <c r="H2305" i="14"/>
  <c r="H2215" i="14"/>
  <c r="H1765" i="14"/>
  <c r="H4236" i="14"/>
  <c r="H4671" i="14"/>
  <c r="H1945" i="14"/>
  <c r="H1855" i="14"/>
  <c r="H4845" i="14"/>
  <c r="H4584" i="14"/>
  <c r="H1315" i="14"/>
  <c r="H1675" i="14"/>
  <c r="H1405" i="14"/>
  <c r="H4149" i="14"/>
  <c r="H1225" i="14"/>
  <c r="H2125" i="14"/>
  <c r="H4410" i="14"/>
  <c r="H4758" i="14"/>
  <c r="H1585" i="14"/>
  <c r="H2035" i="14"/>
  <c r="H2485" i="14"/>
  <c r="H5107" i="14"/>
  <c r="H4323" i="14"/>
  <c r="H3888" i="14"/>
  <c r="H3975" i="14"/>
  <c r="H2576" i="14"/>
  <c r="H4062" i="14"/>
  <c r="H4497" i="14"/>
  <c r="H5019" i="14"/>
  <c r="H1495" i="14"/>
  <c r="H4932" i="14"/>
  <c r="B4327" i="14"/>
  <c r="C2308" i="14"/>
  <c r="C1768" i="14"/>
  <c r="B4501" i="14"/>
  <c r="C4935" i="14"/>
  <c r="C1588" i="14"/>
  <c r="C4413" i="14"/>
  <c r="B4414" i="14"/>
  <c r="B5023" i="14"/>
  <c r="B4936" i="14"/>
  <c r="C4761" i="14"/>
  <c r="B4675" i="14"/>
  <c r="C2578" i="14"/>
  <c r="B4588" i="14"/>
  <c r="C5022" i="14"/>
  <c r="B4240" i="14"/>
  <c r="C4674" i="14"/>
  <c r="C1858" i="14"/>
  <c r="B4849" i="14"/>
  <c r="C4848" i="14"/>
  <c r="B815" i="14"/>
  <c r="B751" i="14"/>
  <c r="B879" i="14"/>
  <c r="C1678" i="14"/>
  <c r="C4152" i="14"/>
  <c r="C2038" i="14"/>
  <c r="C4587" i="14"/>
  <c r="C2398" i="14"/>
  <c r="C1498" i="14"/>
  <c r="C1948" i="14"/>
  <c r="C4239" i="14"/>
  <c r="C5109" i="14"/>
  <c r="C2488" i="14"/>
  <c r="C4500" i="14"/>
  <c r="B5110" i="14"/>
  <c r="C4326" i="14"/>
  <c r="B4762" i="14"/>
  <c r="C2218" i="14"/>
  <c r="C2128" i="14"/>
  <c r="H1496" i="14" a="1"/>
  <c r="H4846" i="14" a="1"/>
  <c r="H4585" i="14" a="1"/>
  <c r="G2037" i="14"/>
  <c r="G1857" i="14"/>
  <c r="F4326" i="14"/>
  <c r="G2307" i="14"/>
  <c r="H2126" i="14" a="1"/>
  <c r="H2306" i="14" a="1"/>
  <c r="F4413" i="14"/>
  <c r="G2217" i="14"/>
  <c r="G4673" i="14"/>
  <c r="H2577" i="14" a="1"/>
  <c r="G1407" i="14"/>
  <c r="H1946" i="14" a="1"/>
  <c r="G5021" i="14"/>
  <c r="G4151" i="14"/>
  <c r="G2127" i="14"/>
  <c r="H1406" i="14" a="1"/>
  <c r="F750" i="14"/>
  <c r="F4761" i="14"/>
  <c r="F5022" i="14"/>
  <c r="G4064" i="14"/>
  <c r="H2216" i="14" a="1"/>
  <c r="H3976" i="14" a="1"/>
  <c r="G4586" i="14"/>
  <c r="H4498" i="14" a="1"/>
  <c r="G1947" i="14"/>
  <c r="H5108" i="14" a="1"/>
  <c r="F4239" i="14"/>
  <c r="H2396" i="14" a="1"/>
  <c r="H5020" i="14" a="1"/>
  <c r="F4500" i="14"/>
  <c r="G1677" i="14"/>
  <c r="G4238" i="14"/>
  <c r="F5110" i="14"/>
  <c r="H4063" i="14" a="1"/>
  <c r="H2486" i="14" a="1"/>
  <c r="G4934" i="14"/>
  <c r="G4760" i="14"/>
  <c r="H1766" i="14" a="1"/>
  <c r="H4759" i="14" a="1"/>
  <c r="H4324" i="14" a="1"/>
  <c r="G1497" i="14"/>
  <c r="F814" i="14"/>
  <c r="G4325" i="14"/>
  <c r="G1587" i="14"/>
  <c r="F879" i="14"/>
  <c r="F4152" i="14"/>
  <c r="G4499" i="14"/>
  <c r="G2487" i="14"/>
  <c r="G4412" i="14"/>
  <c r="G5109" i="14"/>
  <c r="F4674" i="14"/>
  <c r="F4935" i="14"/>
  <c r="H1856" i="14" a="1"/>
  <c r="G2578" i="14"/>
  <c r="H2036" i="14" a="1"/>
  <c r="H4150" i="14" a="1"/>
  <c r="H4933" i="14" a="1"/>
  <c r="H4672" i="14" a="1"/>
  <c r="H1316" i="14" a="1"/>
  <c r="H1586" i="14" a="1"/>
  <c r="F4848" i="14"/>
  <c r="G1767" i="14"/>
  <c r="H4237" i="14" a="1"/>
  <c r="F4587" i="14"/>
  <c r="H4411" i="14" a="1"/>
  <c r="G4847" i="14"/>
  <c r="G2397" i="14"/>
  <c r="H1676" i="14" a="1"/>
  <c r="H4150" i="14" l="1"/>
  <c r="H4063" i="14"/>
  <c r="H2306" i="14"/>
  <c r="H2577" i="14"/>
  <c r="H1316" i="14"/>
  <c r="H4237" i="14"/>
  <c r="H5108" i="14"/>
  <c r="H2216" i="14"/>
  <c r="H2486" i="14"/>
  <c r="H4846" i="14"/>
  <c r="H1496" i="14"/>
  <c r="H4324" i="14"/>
  <c r="H1766" i="14"/>
  <c r="H4672" i="14"/>
  <c r="H4933" i="14"/>
  <c r="H1406" i="14"/>
  <c r="H4585" i="14"/>
  <c r="H4411" i="14"/>
  <c r="H2396" i="14"/>
  <c r="H2126" i="14"/>
  <c r="H4759" i="14"/>
  <c r="H3976" i="14"/>
  <c r="H1856" i="14"/>
  <c r="H1946" i="14"/>
  <c r="H5020" i="14"/>
  <c r="H1586" i="14"/>
  <c r="H4498" i="14"/>
  <c r="H1676" i="14"/>
  <c r="H2036" i="14"/>
  <c r="B5024" i="14"/>
  <c r="C2309" i="14"/>
  <c r="B4415" i="14"/>
  <c r="C2489" i="14"/>
  <c r="C1769" i="14"/>
  <c r="C4936" i="14"/>
  <c r="B4328" i="14"/>
  <c r="B4763" i="14"/>
  <c r="B4589" i="14"/>
  <c r="C2129" i="14"/>
  <c r="C4762" i="14"/>
  <c r="C5023" i="14"/>
  <c r="C1589" i="14"/>
  <c r="C4414" i="14"/>
  <c r="B4937" i="14"/>
  <c r="C4849" i="14"/>
  <c r="C1859" i="14"/>
  <c r="C4588" i="14"/>
  <c r="C4240" i="14"/>
  <c r="B5111" i="14"/>
  <c r="C2579" i="14"/>
  <c r="B4502" i="14"/>
  <c r="C4327" i="14"/>
  <c r="C5110" i="14"/>
  <c r="C4501" i="14"/>
  <c r="C1949" i="14"/>
  <c r="B4676" i="14"/>
  <c r="C2039" i="14"/>
  <c r="B816" i="14"/>
  <c r="B752" i="14"/>
  <c r="B4850" i="14"/>
  <c r="B880" i="14"/>
  <c r="C2219" i="14"/>
  <c r="C4675" i="14"/>
  <c r="C1679" i="14"/>
  <c r="C2399" i="14"/>
  <c r="G2579" i="14"/>
  <c r="G1678" i="14"/>
  <c r="H1767" i="14" a="1"/>
  <c r="H1857" i="14" a="1"/>
  <c r="H4412" i="14" a="1"/>
  <c r="G1768" i="14"/>
  <c r="G4152" i="14"/>
  <c r="G4500" i="14"/>
  <c r="H2307" i="14" a="1"/>
  <c r="H1497" i="14" a="1"/>
  <c r="G4674" i="14"/>
  <c r="H2397" i="14" a="1"/>
  <c r="G5110" i="14"/>
  <c r="H4499" i="14" a="1"/>
  <c r="G2038" i="14"/>
  <c r="H4064" i="14" a="1"/>
  <c r="H2217" i="14" a="1"/>
  <c r="G4413" i="14"/>
  <c r="F4588" i="14"/>
  <c r="H2487" i="14" a="1"/>
  <c r="G4239" i="14"/>
  <c r="G1948" i="14"/>
  <c r="F751" i="14"/>
  <c r="F880" i="14"/>
  <c r="H4151" i="14" a="1"/>
  <c r="H1587" i="14" a="1"/>
  <c r="G1588" i="14"/>
  <c r="G4326" i="14"/>
  <c r="F815" i="14"/>
  <c r="F5111" i="14"/>
  <c r="F4849" i="14"/>
  <c r="G4761" i="14"/>
  <c r="G2128" i="14"/>
  <c r="H4238" i="14" a="1"/>
  <c r="G4935" i="14"/>
  <c r="H4934" i="14" a="1"/>
  <c r="H1407" i="14" a="1"/>
  <c r="G2308" i="14"/>
  <c r="H4847" i="14" a="1"/>
  <c r="F5023" i="14"/>
  <c r="G2488" i="14"/>
  <c r="H4760" i="14" a="1"/>
  <c r="G4587" i="14"/>
  <c r="H2127" i="14" a="1"/>
  <c r="G1498" i="14"/>
  <c r="H4673" i="14" a="1"/>
  <c r="F4936" i="14"/>
  <c r="G2218" i="14"/>
  <c r="F4240" i="14"/>
  <c r="H5109" i="14" a="1"/>
  <c r="F4327" i="14"/>
  <c r="G5022" i="14"/>
  <c r="H1677" i="14" a="1"/>
  <c r="G4848" i="14"/>
  <c r="F4762" i="14"/>
  <c r="F4414" i="14"/>
  <c r="H1947" i="14" a="1"/>
  <c r="H4325" i="14" a="1"/>
  <c r="H5021" i="14" a="1"/>
  <c r="H2037" i="14" a="1"/>
  <c r="G1858" i="14"/>
  <c r="H4586" i="14" a="1"/>
  <c r="H2578" i="14" a="1"/>
  <c r="F4675" i="14"/>
  <c r="F4501" i="14"/>
  <c r="G2398" i="14"/>
  <c r="H1587" i="14" l="1"/>
  <c r="H4760" i="14"/>
  <c r="H2578" i="14"/>
  <c r="H2397" i="14"/>
  <c r="H2487" i="14"/>
  <c r="H4586" i="14"/>
  <c r="H1857" i="14"/>
  <c r="H1497" i="14"/>
  <c r="H1947" i="14"/>
  <c r="H2037" i="14"/>
  <c r="H4151" i="14"/>
  <c r="H2307" i="14"/>
  <c r="H4064" i="14"/>
  <c r="H5109" i="14"/>
  <c r="H4847" i="14"/>
  <c r="H1407" i="14"/>
  <c r="H1677" i="14"/>
  <c r="H2127" i="14"/>
  <c r="H2217" i="14"/>
  <c r="H4238" i="14"/>
  <c r="H4673" i="14"/>
  <c r="H4325" i="14"/>
  <c r="H4412" i="14"/>
  <c r="H1767" i="14"/>
  <c r="H4499" i="14"/>
  <c r="H4934" i="14"/>
  <c r="H5021" i="14"/>
  <c r="C1770" i="14"/>
  <c r="B4764" i="14"/>
  <c r="C4850" i="14"/>
  <c r="B4416" i="14"/>
  <c r="C2040" i="14"/>
  <c r="C2220" i="14"/>
  <c r="C2400" i="14"/>
  <c r="C4763" i="14"/>
  <c r="C4676" i="14"/>
  <c r="C4502" i="14"/>
  <c r="B817" i="14"/>
  <c r="B753" i="14"/>
  <c r="C2310" i="14"/>
  <c r="B881" i="14"/>
  <c r="C4589" i="14"/>
  <c r="C1950" i="14"/>
  <c r="C1680" i="14"/>
  <c r="B4677" i="14"/>
  <c r="C1860" i="14"/>
  <c r="B5112" i="14"/>
  <c r="B4590" i="14"/>
  <c r="C2130" i="14"/>
  <c r="C4937" i="14"/>
  <c r="C5111" i="14"/>
  <c r="C2580" i="14"/>
  <c r="B4938" i="14"/>
  <c r="C5024" i="14"/>
  <c r="B4851" i="14"/>
  <c r="C2490" i="14"/>
  <c r="C4415" i="14"/>
  <c r="C4328" i="14"/>
  <c r="B5025" i="14"/>
  <c r="B4503" i="14"/>
  <c r="G1859" i="14"/>
  <c r="F881" i="14"/>
  <c r="H5110" i="14" a="1"/>
  <c r="G4675" i="14"/>
  <c r="H1858" i="14" a="1"/>
  <c r="H4413" i="14" a="1"/>
  <c r="H4152" i="14" a="1"/>
  <c r="H2128" i="14" a="1"/>
  <c r="H2038" i="14" a="1"/>
  <c r="G2219" i="14"/>
  <c r="H4674" i="14" a="1"/>
  <c r="F5112" i="14"/>
  <c r="G2399" i="14"/>
  <c r="G4240" i="14"/>
  <c r="G2489" i="14"/>
  <c r="G1949" i="14"/>
  <c r="G4327" i="14"/>
  <c r="H1678" i="14" a="1"/>
  <c r="F4328" i="14"/>
  <c r="H1498" i="14" a="1"/>
  <c r="G4762" i="14"/>
  <c r="H4326" i="14" a="1"/>
  <c r="F4850" i="14"/>
  <c r="H4935" i="14" a="1"/>
  <c r="G5111" i="14"/>
  <c r="G4936" i="14"/>
  <c r="G2129" i="14"/>
  <c r="F4415" i="14"/>
  <c r="G4414" i="14"/>
  <c r="H5022" i="14" a="1"/>
  <c r="G2309" i="14"/>
  <c r="G1769" i="14"/>
  <c r="H2398" i="14" a="1"/>
  <c r="H4500" i="14" a="1"/>
  <c r="H1948" i="14" a="1"/>
  <c r="H4848" i="14" a="1"/>
  <c r="H1768" i="14" a="1"/>
  <c r="H4239" i="14" a="1"/>
  <c r="F4589" i="14"/>
  <c r="G4501" i="14"/>
  <c r="F4676" i="14"/>
  <c r="H2308" i="14" a="1"/>
  <c r="H4587" i="14" a="1"/>
  <c r="H2579" i="14" a="1"/>
  <c r="F4502" i="14"/>
  <c r="H4761" i="14" a="1"/>
  <c r="F752" i="14"/>
  <c r="G1679" i="14"/>
  <c r="G5023" i="14"/>
  <c r="H2218" i="14" a="1"/>
  <c r="G2580" i="14"/>
  <c r="G2039" i="14"/>
  <c r="G4588" i="14"/>
  <c r="H2488" i="14" a="1"/>
  <c r="F4937" i="14"/>
  <c r="G1589" i="14"/>
  <c r="F816" i="14"/>
  <c r="H1588" i="14" a="1"/>
  <c r="G4849" i="14"/>
  <c r="F5024" i="14"/>
  <c r="F4763" i="14"/>
  <c r="H1678" i="14" l="1"/>
  <c r="H4587" i="14"/>
  <c r="H2218" i="14"/>
  <c r="H1948" i="14"/>
  <c r="H2488" i="14"/>
  <c r="H4674" i="14"/>
  <c r="H2308" i="14"/>
  <c r="H4848" i="14"/>
  <c r="H4500" i="14"/>
  <c r="H2038" i="14"/>
  <c r="H2128" i="14"/>
  <c r="H4326" i="14"/>
  <c r="H1498" i="14"/>
  <c r="H4239" i="14"/>
  <c r="H1768" i="14"/>
  <c r="H1858" i="14"/>
  <c r="H5110" i="14"/>
  <c r="H2398" i="14"/>
  <c r="H1588" i="14"/>
  <c r="H4935" i="14"/>
  <c r="H4761" i="14"/>
  <c r="H4152" i="14"/>
  <c r="H4413" i="14"/>
  <c r="H5022" i="14"/>
  <c r="H2579" i="14"/>
  <c r="B5113" i="14"/>
  <c r="B4939" i="14"/>
  <c r="C4938" i="14"/>
  <c r="C5112" i="14"/>
  <c r="C5025" i="14"/>
  <c r="C1951" i="14"/>
  <c r="C4677" i="14"/>
  <c r="C2311" i="14"/>
  <c r="C4503" i="14"/>
  <c r="B5026" i="14"/>
  <c r="C4590" i="14"/>
  <c r="B4852" i="14"/>
  <c r="B818" i="14"/>
  <c r="B754" i="14"/>
  <c r="B882" i="14"/>
  <c r="C4416" i="14"/>
  <c r="C2221" i="14"/>
  <c r="B4765" i="14"/>
  <c r="B4591" i="14"/>
  <c r="B4678" i="14"/>
  <c r="C2401" i="14"/>
  <c r="C4764" i="14"/>
  <c r="C2131" i="14"/>
  <c r="C1861" i="14"/>
  <c r="C2041" i="14"/>
  <c r="C2491" i="14"/>
  <c r="C2581" i="14"/>
  <c r="C1771" i="14"/>
  <c r="C4851" i="14"/>
  <c r="B4504" i="14"/>
  <c r="H2039" i="14" a="1"/>
  <c r="H2489" i="14" a="1"/>
  <c r="G2220" i="14"/>
  <c r="G4502" i="14"/>
  <c r="G2490" i="14"/>
  <c r="G2130" i="14"/>
  <c r="G4763" i="14"/>
  <c r="H5023" i="14" a="1"/>
  <c r="G4328" i="14"/>
  <c r="H1769" i="14" a="1"/>
  <c r="G1860" i="14"/>
  <c r="G5112" i="14"/>
  <c r="H4588" i="14" a="1"/>
  <c r="F4851" i="14"/>
  <c r="H1949" i="14" a="1"/>
  <c r="G5024" i="14"/>
  <c r="H5111" i="14" a="1"/>
  <c r="G4676" i="14"/>
  <c r="F4503" i="14"/>
  <c r="H4240" i="14" a="1"/>
  <c r="H1589" i="14" a="1"/>
  <c r="F4677" i="14"/>
  <c r="F5025" i="14"/>
  <c r="H4762" i="14" a="1"/>
  <c r="H1859" i="14" a="1"/>
  <c r="F882" i="14"/>
  <c r="G2310" i="14"/>
  <c r="G2400" i="14"/>
  <c r="H1679" i="14" a="1"/>
  <c r="F4938" i="14"/>
  <c r="H4849" i="14" a="1"/>
  <c r="G2040" i="14"/>
  <c r="G1770" i="14"/>
  <c r="F4764" i="14"/>
  <c r="G1680" i="14"/>
  <c r="F4416" i="14"/>
  <c r="H2580" i="14" a="1"/>
  <c r="G2581" i="14"/>
  <c r="G4589" i="14"/>
  <c r="H2219" i="14" a="1"/>
  <c r="H4327" i="14" a="1"/>
  <c r="G1950" i="14"/>
  <c r="H4675" i="14" a="1"/>
  <c r="F817" i="14"/>
  <c r="F753" i="14"/>
  <c r="G4415" i="14"/>
  <c r="F4590" i="14"/>
  <c r="H2309" i="14" a="1"/>
  <c r="H4414" i="14" a="1"/>
  <c r="G4850" i="14"/>
  <c r="H2129" i="14" a="1"/>
  <c r="H4501" i="14" a="1"/>
  <c r="H2399" i="14" a="1"/>
  <c r="H4936" i="14" a="1"/>
  <c r="G4937" i="14"/>
  <c r="F5113" i="14"/>
  <c r="H2129" i="14" l="1"/>
  <c r="H2580" i="14"/>
  <c r="H1949" i="14"/>
  <c r="H2399" i="14"/>
  <c r="H4327" i="14"/>
  <c r="H1679" i="14"/>
  <c r="H4762" i="14"/>
  <c r="H4501" i="14"/>
  <c r="H4588" i="14"/>
  <c r="H4849" i="14"/>
  <c r="H2219" i="14"/>
  <c r="H2489" i="14"/>
  <c r="H1589" i="14"/>
  <c r="H2039" i="14"/>
  <c r="H4414" i="14"/>
  <c r="H4240" i="14"/>
  <c r="H1769" i="14"/>
  <c r="H2309" i="14"/>
  <c r="H5023" i="14"/>
  <c r="H4936" i="14"/>
  <c r="H4675" i="14"/>
  <c r="H1859" i="14"/>
  <c r="H5111" i="14"/>
  <c r="C2132" i="14"/>
  <c r="C5026" i="14"/>
  <c r="C4678" i="14"/>
  <c r="C4765" i="14"/>
  <c r="C2492" i="14"/>
  <c r="C2312" i="14"/>
  <c r="B4940" i="14"/>
  <c r="B5027" i="14"/>
  <c r="B4592" i="14"/>
  <c r="C2582" i="14"/>
  <c r="B819" i="14"/>
  <c r="B755" i="14"/>
  <c r="C4939" i="14"/>
  <c r="C4504" i="14"/>
  <c r="C2402" i="14"/>
  <c r="C1862" i="14"/>
  <c r="C1952" i="14"/>
  <c r="B4766" i="14"/>
  <c r="C2222" i="14"/>
  <c r="B4679" i="14"/>
  <c r="B5114" i="14"/>
  <c r="C2042" i="14"/>
  <c r="C4852" i="14"/>
  <c r="B4853" i="14"/>
  <c r="B883" i="14"/>
  <c r="C4591" i="14"/>
  <c r="C5113" i="14"/>
  <c r="F754" i="14"/>
  <c r="F4591" i="14"/>
  <c r="G5113" i="14"/>
  <c r="G4851" i="14"/>
  <c r="F4678" i="14"/>
  <c r="H4589" i="14" a="1"/>
  <c r="G2311" i="14"/>
  <c r="H4502" i="14" a="1"/>
  <c r="H4676" i="14" a="1"/>
  <c r="H2040" i="14" a="1"/>
  <c r="H2310" i="14" a="1"/>
  <c r="H4850" i="14" a="1"/>
  <c r="G2491" i="14"/>
  <c r="H1950" i="14" a="1"/>
  <c r="G1771" i="14"/>
  <c r="F883" i="14"/>
  <c r="H4328" i="14" a="1"/>
  <c r="H4763" i="14" a="1"/>
  <c r="F5026" i="14"/>
  <c r="G5025" i="14"/>
  <c r="G4590" i="14"/>
  <c r="F5114" i="14"/>
  <c r="G4938" i="14"/>
  <c r="F4852" i="14"/>
  <c r="G2131" i="14"/>
  <c r="H2490" i="14" a="1"/>
  <c r="F4504" i="14"/>
  <c r="G4764" i="14"/>
  <c r="G2221" i="14"/>
  <c r="H2130" i="14" a="1"/>
  <c r="G2401" i="14"/>
  <c r="H4415" i="14" a="1"/>
  <c r="F4939" i="14"/>
  <c r="G4416" i="14"/>
  <c r="F818" i="14"/>
  <c r="H2220" i="14" a="1"/>
  <c r="G2582" i="14"/>
  <c r="G2041" i="14"/>
  <c r="H4937" i="14" a="1"/>
  <c r="H2581" i="14" a="1"/>
  <c r="H1680" i="14" a="1"/>
  <c r="G1861" i="14"/>
  <c r="G4503" i="14"/>
  <c r="H5112" i="14" a="1"/>
  <c r="F4765" i="14"/>
  <c r="G4677" i="14"/>
  <c r="H5024" i="14" a="1"/>
  <c r="H1860" i="14" a="1"/>
  <c r="G1951" i="14"/>
  <c r="H2400" i="14" a="1"/>
  <c r="H1770" i="14" a="1"/>
  <c r="H4850" i="14" l="1"/>
  <c r="H4763" i="14"/>
  <c r="H2400" i="14"/>
  <c r="H4502" i="14"/>
  <c r="H4328" i="14"/>
  <c r="H4937" i="14"/>
  <c r="H2040" i="14"/>
  <c r="H4589" i="14"/>
  <c r="H4676" i="14"/>
  <c r="H1680" i="14"/>
  <c r="H5024" i="14"/>
  <c r="H1950" i="14"/>
  <c r="H2581" i="14"/>
  <c r="H2490" i="14"/>
  <c r="H4415" i="14"/>
  <c r="H1770" i="14"/>
  <c r="H2130" i="14"/>
  <c r="H1860" i="14"/>
  <c r="H5112" i="14"/>
  <c r="H2310" i="14"/>
  <c r="H2220" i="14"/>
  <c r="C2223" i="14"/>
  <c r="C2043" i="14"/>
  <c r="C4853" i="14"/>
  <c r="B820" i="14"/>
  <c r="B756" i="14"/>
  <c r="B5115" i="14"/>
  <c r="C4679" i="14"/>
  <c r="B4854" i="14"/>
  <c r="C4592" i="14"/>
  <c r="C2403" i="14"/>
  <c r="B4680" i="14"/>
  <c r="B4941" i="14"/>
  <c r="C2313" i="14"/>
  <c r="B5028" i="14"/>
  <c r="C4766" i="14"/>
  <c r="C2133" i="14"/>
  <c r="C5027" i="14"/>
  <c r="C2583" i="14"/>
  <c r="B4767" i="14"/>
  <c r="C1953" i="14"/>
  <c r="B884" i="14"/>
  <c r="C4940" i="14"/>
  <c r="C2493" i="14"/>
  <c r="C5114" i="14"/>
  <c r="G4678" i="14"/>
  <c r="H4764" i="14" a="1"/>
  <c r="G4939" i="14"/>
  <c r="F884" i="14"/>
  <c r="H2221" i="14" a="1"/>
  <c r="F4679" i="14"/>
  <c r="F4853" i="14"/>
  <c r="H2582" i="14" a="1"/>
  <c r="F755" i="14"/>
  <c r="G2222" i="14"/>
  <c r="H1771" i="14" a="1"/>
  <c r="H4677" i="14" a="1"/>
  <c r="H4416" i="14" a="1"/>
  <c r="H1951" i="14" a="1"/>
  <c r="H2311" i="14" a="1"/>
  <c r="H1861" i="14" a="1"/>
  <c r="G4591" i="14"/>
  <c r="G4504" i="14"/>
  <c r="F4592" i="14"/>
  <c r="H2041" i="14" a="1"/>
  <c r="G5026" i="14"/>
  <c r="H5113" i="14" a="1"/>
  <c r="F4766" i="14"/>
  <c r="G2042" i="14"/>
  <c r="H4503" i="14" a="1"/>
  <c r="H2491" i="14" a="1"/>
  <c r="G2492" i="14"/>
  <c r="G2312" i="14"/>
  <c r="H2401" i="14" a="1"/>
  <c r="G2132" i="14"/>
  <c r="G1952" i="14"/>
  <c r="G5114" i="14"/>
  <c r="F819" i="14"/>
  <c r="F5115" i="14"/>
  <c r="H4938" i="14" a="1"/>
  <c r="F5027" i="14"/>
  <c r="H2131" i="14" a="1"/>
  <c r="H4851" i="14" a="1"/>
  <c r="F4940" i="14"/>
  <c r="G4765" i="14"/>
  <c r="G2402" i="14"/>
  <c r="G1862" i="14"/>
  <c r="H5025" i="14" a="1"/>
  <c r="H4590" i="14" a="1"/>
  <c r="G2583" i="14"/>
  <c r="G4852" i="14"/>
  <c r="H2221" i="14" l="1"/>
  <c r="H2491" i="14"/>
  <c r="H2582" i="14"/>
  <c r="H2311" i="14"/>
  <c r="H4764" i="14"/>
  <c r="H4851" i="14"/>
  <c r="H2041" i="14"/>
  <c r="H1951" i="14"/>
  <c r="H5113" i="14"/>
  <c r="H4416" i="14"/>
  <c r="H4503" i="14"/>
  <c r="H4938" i="14"/>
  <c r="H4590" i="14"/>
  <c r="H4677" i="14"/>
  <c r="H2401" i="14"/>
  <c r="H2131" i="14"/>
  <c r="H5025" i="14"/>
  <c r="H1861" i="14"/>
  <c r="H1771" i="14"/>
  <c r="B4855" i="14"/>
  <c r="B4768" i="14"/>
  <c r="C4767" i="14"/>
  <c r="C4941" i="14"/>
  <c r="C4854" i="14"/>
  <c r="C5028" i="14"/>
  <c r="B5116" i="14"/>
  <c r="C2494" i="14"/>
  <c r="B821" i="14"/>
  <c r="B757" i="14"/>
  <c r="C2314" i="14"/>
  <c r="C2404" i="14"/>
  <c r="B885" i="14"/>
  <c r="C2584" i="14"/>
  <c r="C2134" i="14"/>
  <c r="C5115" i="14"/>
  <c r="C4680" i="14"/>
  <c r="C2044" i="14"/>
  <c r="C2224" i="14"/>
  <c r="B5029" i="14"/>
  <c r="B4942" i="14"/>
  <c r="H2222" i="14" a="1"/>
  <c r="H1952" i="14" a="1"/>
  <c r="H4504" i="14" a="1"/>
  <c r="H4591" i="14" a="1"/>
  <c r="G4592" i="14"/>
  <c r="G1953" i="14"/>
  <c r="F756" i="14"/>
  <c r="F5028" i="14"/>
  <c r="G2043" i="14"/>
  <c r="F4680" i="14"/>
  <c r="H2312" i="14" a="1"/>
  <c r="H2492" i="14" a="1"/>
  <c r="H5026" i="14" a="1"/>
  <c r="G4853" i="14"/>
  <c r="G2493" i="14"/>
  <c r="G4766" i="14"/>
  <c r="F4767" i="14"/>
  <c r="H2042" i="14" a="1"/>
  <c r="H4852" i="14" a="1"/>
  <c r="H5114" i="14" a="1"/>
  <c r="G2223" i="14"/>
  <c r="H2132" i="14" a="1"/>
  <c r="F885" i="14"/>
  <c r="F820" i="14"/>
  <c r="F5116" i="14"/>
  <c r="G5115" i="14"/>
  <c r="H2583" i="14" a="1"/>
  <c r="G2133" i="14"/>
  <c r="F4941" i="14"/>
  <c r="H4678" i="14" a="1"/>
  <c r="G5027" i="14"/>
  <c r="G2403" i="14"/>
  <c r="G4940" i="14"/>
  <c r="H1862" i="14" a="1"/>
  <c r="F4854" i="14"/>
  <c r="G2313" i="14"/>
  <c r="H4765" i="14" a="1"/>
  <c r="H4939" i="14" a="1"/>
  <c r="G2584" i="14"/>
  <c r="G4679" i="14"/>
  <c r="H2402" i="14" a="1"/>
  <c r="H2583" i="14" l="1"/>
  <c r="H5026" i="14"/>
  <c r="H2402" i="14"/>
  <c r="H4591" i="14"/>
  <c r="H2492" i="14"/>
  <c r="H1952" i="14"/>
  <c r="H5114" i="14"/>
  <c r="H4678" i="14"/>
  <c r="H2132" i="14"/>
  <c r="H2312" i="14"/>
  <c r="H2042" i="14"/>
  <c r="H4504" i="14"/>
  <c r="H4939" i="14"/>
  <c r="H4852" i="14"/>
  <c r="H4765" i="14"/>
  <c r="H1862" i="14"/>
  <c r="H2222" i="14"/>
  <c r="C4855" i="14"/>
  <c r="C2225" i="14"/>
  <c r="C2315" i="14"/>
  <c r="C2405" i="14"/>
  <c r="C5116" i="14"/>
  <c r="B4856" i="14"/>
  <c r="B822" i="14"/>
  <c r="B758" i="14"/>
  <c r="C2585" i="14"/>
  <c r="C2135" i="14"/>
  <c r="B886" i="14"/>
  <c r="B5030" i="14"/>
  <c r="C4942" i="14"/>
  <c r="B4943" i="14"/>
  <c r="B5117" i="14"/>
  <c r="C2495" i="14"/>
  <c r="C5029" i="14"/>
  <c r="C4768" i="14"/>
  <c r="H4592" i="14" a="1"/>
  <c r="G4941" i="14"/>
  <c r="H2043" i="14" a="1"/>
  <c r="H2493" i="14" a="1"/>
  <c r="H2223" i="14" a="1"/>
  <c r="F5117" i="14"/>
  <c r="G2585" i="14"/>
  <c r="G2044" i="14"/>
  <c r="G4854" i="14"/>
  <c r="F5029" i="14"/>
  <c r="F4768" i="14"/>
  <c r="F757" i="14"/>
  <c r="G2314" i="14"/>
  <c r="F886" i="14"/>
  <c r="H2133" i="14" a="1"/>
  <c r="G2494" i="14"/>
  <c r="H2403" i="14" a="1"/>
  <c r="F4942" i="14"/>
  <c r="H4853" i="14" a="1"/>
  <c r="G2224" i="14"/>
  <c r="H1953" i="14" a="1"/>
  <c r="G2134" i="14"/>
  <c r="G4767" i="14"/>
  <c r="H4766" i="14" a="1"/>
  <c r="H2313" i="14" a="1"/>
  <c r="G4680" i="14"/>
  <c r="H2584" i="14" a="1"/>
  <c r="F4855" i="14"/>
  <c r="H5027" i="14" a="1"/>
  <c r="H5115" i="14" a="1"/>
  <c r="G2404" i="14"/>
  <c r="G5116" i="14"/>
  <c r="H4679" i="14" a="1"/>
  <c r="F821" i="14"/>
  <c r="G5028" i="14"/>
  <c r="H4940" i="14" a="1"/>
  <c r="H2403" i="14" l="1"/>
  <c r="H2584" i="14"/>
  <c r="H4679" i="14"/>
  <c r="H2493" i="14"/>
  <c r="H4766" i="14"/>
  <c r="H2223" i="14"/>
  <c r="H2133" i="14"/>
  <c r="H4853" i="14"/>
  <c r="H4592" i="14"/>
  <c r="H2313" i="14"/>
  <c r="H5027" i="14"/>
  <c r="H4940" i="14"/>
  <c r="H1953" i="14"/>
  <c r="H2043" i="14"/>
  <c r="H5115" i="14"/>
  <c r="C5117" i="14"/>
  <c r="C5030" i="14"/>
  <c r="C2496" i="14"/>
  <c r="C2586" i="14"/>
  <c r="B5118" i="14"/>
  <c r="B823" i="14"/>
  <c r="B759" i="14"/>
  <c r="B887" i="14"/>
  <c r="C2406" i="14"/>
  <c r="C4943" i="14"/>
  <c r="C4856" i="14"/>
  <c r="C2226" i="14"/>
  <c r="B4944" i="14"/>
  <c r="C2316" i="14"/>
  <c r="B5031" i="14"/>
  <c r="G5029" i="14"/>
  <c r="G4768" i="14"/>
  <c r="G4942" i="14"/>
  <c r="F5030" i="14"/>
  <c r="G2225" i="14"/>
  <c r="H4941" i="14" a="1"/>
  <c r="G2586" i="14"/>
  <c r="F822" i="14"/>
  <c r="H2134" i="14" a="1"/>
  <c r="H5028" i="14" a="1"/>
  <c r="G5117" i="14"/>
  <c r="H4854" i="14" a="1"/>
  <c r="F758" i="14"/>
  <c r="F4943" i="14"/>
  <c r="G2495" i="14"/>
  <c r="F5118" i="14"/>
  <c r="G2135" i="14"/>
  <c r="H4680" i="14" a="1"/>
  <c r="G2315" i="14"/>
  <c r="H2404" i="14" a="1"/>
  <c r="H2314" i="14" a="1"/>
  <c r="H2224" i="14" a="1"/>
  <c r="H2494" i="14" a="1"/>
  <c r="F887" i="14"/>
  <c r="G2405" i="14"/>
  <c r="F4856" i="14"/>
  <c r="H4767" i="14" a="1"/>
  <c r="H2585" i="14" a="1"/>
  <c r="G4855" i="14"/>
  <c r="H5116" i="14" a="1"/>
  <c r="H2044" i="14" a="1"/>
  <c r="H2494" i="14" l="1"/>
  <c r="H4767" i="14"/>
  <c r="H5116" i="14"/>
  <c r="H5028" i="14"/>
  <c r="H2224" i="14"/>
  <c r="H4854" i="14"/>
  <c r="H4941" i="14"/>
  <c r="H2044" i="14"/>
  <c r="H2314" i="14"/>
  <c r="H2134" i="14"/>
  <c r="H2585" i="14"/>
  <c r="H4680" i="14"/>
  <c r="H2404" i="14"/>
  <c r="C5118" i="14"/>
  <c r="C5031" i="14"/>
  <c r="B888" i="14"/>
  <c r="C2497" i="14"/>
  <c r="C2317" i="14"/>
  <c r="C2407" i="14"/>
  <c r="B5032" i="14"/>
  <c r="C2587" i="14"/>
  <c r="B5119" i="14"/>
  <c r="C4944" i="14"/>
  <c r="B824" i="14"/>
  <c r="B760" i="14"/>
  <c r="H4768" i="14" a="1"/>
  <c r="G2226" i="14"/>
  <c r="H4942" i="14" a="1"/>
  <c r="G4943" i="14"/>
  <c r="F5119" i="14"/>
  <c r="G5118" i="14"/>
  <c r="F5031" i="14"/>
  <c r="H2225" i="14" a="1"/>
  <c r="F4944" i="14"/>
  <c r="H5029" i="14" a="1"/>
  <c r="H2135" i="14" a="1"/>
  <c r="F823" i="14"/>
  <c r="H2586" i="14" a="1"/>
  <c r="H4855" i="14" a="1"/>
  <c r="H2405" i="14" a="1"/>
  <c r="G2496" i="14"/>
  <c r="H2315" i="14" a="1"/>
  <c r="G2587" i="14"/>
  <c r="H2495" i="14" a="1"/>
  <c r="G2406" i="14"/>
  <c r="H5117" i="14" a="1"/>
  <c r="G4856" i="14"/>
  <c r="G5030" i="14"/>
  <c r="F759" i="14"/>
  <c r="G2316" i="14"/>
  <c r="H2225" i="14" l="1"/>
  <c r="H2315" i="14"/>
  <c r="H4768" i="14"/>
  <c r="H2586" i="14"/>
  <c r="H4942" i="14"/>
  <c r="H5029" i="14"/>
  <c r="H2405" i="14"/>
  <c r="H2135" i="14"/>
  <c r="H5117" i="14"/>
  <c r="H4855" i="14"/>
  <c r="H2495" i="14"/>
  <c r="C5032" i="14"/>
  <c r="B889" i="14"/>
  <c r="C2588" i="14"/>
  <c r="B953" i="14"/>
  <c r="C2498" i="14"/>
  <c r="C5119" i="14"/>
  <c r="C2408" i="14"/>
  <c r="B825" i="14"/>
  <c r="B761" i="14"/>
  <c r="B5120" i="14"/>
  <c r="G2588" i="14"/>
  <c r="F953" i="14"/>
  <c r="F888" i="14"/>
  <c r="H2316" i="14" a="1"/>
  <c r="F760" i="14"/>
  <c r="H4856" i="14" a="1"/>
  <c r="H2406" i="14" a="1"/>
  <c r="H2226" i="14" a="1"/>
  <c r="H5030" i="14" a="1"/>
  <c r="F5120" i="14"/>
  <c r="G2317" i="14"/>
  <c r="F824" i="14"/>
  <c r="F5032" i="14"/>
  <c r="H2496" i="14" a="1"/>
  <c r="H4943" i="14" a="1"/>
  <c r="G2497" i="14"/>
  <c r="H2587" i="14" a="1"/>
  <c r="G4944" i="14"/>
  <c r="G2407" i="14"/>
  <c r="G5031" i="14"/>
  <c r="G5119" i="14"/>
  <c r="H5118" i="14" a="1"/>
  <c r="H2226" i="14" l="1"/>
  <c r="H4856" i="14"/>
  <c r="H2496" i="14"/>
  <c r="H5030" i="14"/>
  <c r="H2316" i="14"/>
  <c r="H2406" i="14"/>
  <c r="H4943" i="14"/>
  <c r="H5118" i="14"/>
  <c r="H2587" i="14"/>
  <c r="C2499" i="14"/>
  <c r="B954" i="14"/>
  <c r="C5120" i="14"/>
  <c r="B890" i="14"/>
  <c r="C2589" i="14"/>
  <c r="B826" i="14"/>
  <c r="B762" i="14"/>
  <c r="H5119" i="14" a="1"/>
  <c r="H2588" i="14" a="1"/>
  <c r="H2497" i="14" a="1"/>
  <c r="G2589" i="14"/>
  <c r="H4944" i="14" a="1"/>
  <c r="G5120" i="14"/>
  <c r="H2317" i="14" a="1"/>
  <c r="F825" i="14"/>
  <c r="G2498" i="14"/>
  <c r="H5031" i="14" a="1"/>
  <c r="F761" i="14"/>
  <c r="F954" i="14"/>
  <c r="G2408" i="14"/>
  <c r="H2407" i="14" a="1"/>
  <c r="F889" i="14"/>
  <c r="G5032" i="14"/>
  <c r="H2317" i="14" l="1"/>
  <c r="H4944" i="14"/>
  <c r="H5031" i="14"/>
  <c r="H2497" i="14"/>
  <c r="H2588" i="14"/>
  <c r="H2407" i="14"/>
  <c r="H5119" i="14"/>
  <c r="C2590" i="14"/>
  <c r="B955" i="14"/>
  <c r="B827" i="14"/>
  <c r="B763" i="14"/>
  <c r="B891" i="14"/>
  <c r="F955" i="14"/>
  <c r="G2499" i="14"/>
  <c r="H2408" i="14" a="1"/>
  <c r="F762" i="14"/>
  <c r="F890" i="14"/>
  <c r="H5032" i="14" a="1"/>
  <c r="H5120" i="14" a="1"/>
  <c r="H2498" i="14" a="1"/>
  <c r="H2589" i="14" a="1"/>
  <c r="F826" i="14"/>
  <c r="G2590" i="14"/>
  <c r="H2408" i="14" l="1"/>
  <c r="H2498" i="14"/>
  <c r="H5032" i="14"/>
  <c r="H2589" i="14"/>
  <c r="H5120" i="14"/>
  <c r="B828" i="14"/>
  <c r="B764" i="14"/>
  <c r="B892" i="14"/>
  <c r="B956" i="14"/>
  <c r="H2590" i="14" a="1"/>
  <c r="H2499" i="14" a="1"/>
  <c r="F891" i="14"/>
  <c r="F827" i="14"/>
  <c r="F956" i="14"/>
  <c r="F763" i="14"/>
  <c r="H2499" i="14" l="1"/>
  <c r="H2590" i="14"/>
  <c r="B829" i="14"/>
  <c r="B765" i="14"/>
  <c r="B893" i="14"/>
  <c r="B957" i="14"/>
  <c r="F892" i="14"/>
  <c r="F957" i="14"/>
  <c r="F764" i="14"/>
  <c r="F828" i="14"/>
  <c r="B958" i="14" l="1"/>
  <c r="B830" i="14"/>
  <c r="B766" i="14"/>
  <c r="B894" i="14"/>
  <c r="F829" i="14"/>
  <c r="F765" i="14"/>
  <c r="F958" i="14"/>
  <c r="F893" i="14"/>
  <c r="B959" i="14" l="1"/>
  <c r="B831" i="14"/>
  <c r="B767" i="14"/>
  <c r="B895" i="14"/>
  <c r="F959" i="14"/>
  <c r="F894" i="14"/>
  <c r="F766" i="14"/>
  <c r="F830" i="14"/>
  <c r="B960" i="14" l="1"/>
  <c r="B832" i="14"/>
  <c r="B768" i="14"/>
  <c r="B896" i="14"/>
  <c r="F960" i="14"/>
  <c r="F767" i="14"/>
  <c r="F831" i="14"/>
  <c r="F895" i="14"/>
  <c r="B961" i="14" l="1"/>
  <c r="B833" i="14"/>
  <c r="B769" i="14"/>
  <c r="B897" i="14"/>
  <c r="F961" i="14"/>
  <c r="F896" i="14"/>
  <c r="F832" i="14"/>
  <c r="F768" i="14"/>
  <c r="B834" i="14" l="1"/>
  <c r="B770" i="14"/>
  <c r="B898" i="14"/>
  <c r="B962" i="14"/>
  <c r="F769" i="14"/>
  <c r="F833" i="14"/>
  <c r="F962" i="14"/>
  <c r="F897" i="14"/>
  <c r="B963" i="14" l="1"/>
  <c r="B835" i="14"/>
  <c r="B899" i="14"/>
  <c r="F898" i="14"/>
  <c r="F963" i="14"/>
  <c r="F834" i="14"/>
  <c r="F770" i="14"/>
  <c r="B964" i="14" l="1"/>
  <c r="B900" i="14"/>
  <c r="B836" i="14"/>
  <c r="F899" i="14"/>
  <c r="F964" i="14"/>
  <c r="F835" i="14"/>
  <c r="B901" i="14" l="1"/>
  <c r="B837" i="14"/>
  <c r="B965" i="14"/>
  <c r="F900" i="14"/>
  <c r="F836" i="14"/>
  <c r="F965" i="14"/>
  <c r="B902" i="14" l="1"/>
  <c r="B838" i="14"/>
  <c r="B966" i="14"/>
  <c r="F966" i="14"/>
  <c r="F837" i="14"/>
  <c r="F901" i="14"/>
  <c r="B903" i="14" l="1"/>
  <c r="B839" i="14"/>
  <c r="B967" i="14"/>
  <c r="F967" i="14"/>
  <c r="F838" i="14"/>
  <c r="F902" i="14"/>
  <c r="B904" i="14" l="1"/>
  <c r="B840" i="14"/>
  <c r="B968" i="14"/>
  <c r="F968" i="14"/>
  <c r="F903" i="14"/>
  <c r="F839" i="14"/>
  <c r="B905" i="14" l="1"/>
  <c r="B841" i="14"/>
  <c r="B969" i="14"/>
  <c r="F840" i="14"/>
  <c r="F904" i="14"/>
  <c r="F969" i="14"/>
  <c r="B906" i="14" l="1"/>
  <c r="B842" i="14"/>
  <c r="B970" i="14"/>
  <c r="F841" i="14"/>
  <c r="F970" i="14"/>
  <c r="F905" i="14"/>
  <c r="B907" i="14" l="1"/>
  <c r="B843" i="14"/>
  <c r="B971" i="14"/>
  <c r="F842" i="14"/>
  <c r="F971" i="14"/>
  <c r="F906" i="14"/>
  <c r="B908" i="14" l="1"/>
  <c r="B844" i="14"/>
  <c r="B972" i="14"/>
  <c r="F843" i="14"/>
  <c r="F972" i="14"/>
  <c r="F907" i="14"/>
  <c r="B909" i="14" l="1"/>
  <c r="B845" i="14"/>
  <c r="B973" i="14"/>
  <c r="F844" i="14"/>
  <c r="F973" i="14"/>
  <c r="F908" i="14"/>
  <c r="B910" i="14" l="1"/>
  <c r="B846" i="14"/>
  <c r="B974" i="14"/>
  <c r="F974" i="14"/>
  <c r="F909" i="14"/>
  <c r="F845" i="14"/>
  <c r="B911" i="14" l="1"/>
  <c r="B847" i="14"/>
  <c r="B975" i="14"/>
  <c r="F846" i="14"/>
  <c r="F975" i="14"/>
  <c r="F910" i="14"/>
  <c r="B912" i="14" l="1"/>
  <c r="B848" i="14"/>
  <c r="B976" i="14"/>
  <c r="F976" i="14"/>
  <c r="F911" i="14"/>
  <c r="F847" i="14"/>
  <c r="B913" i="14" l="1"/>
  <c r="B849" i="14"/>
  <c r="B977" i="14"/>
  <c r="F848" i="14"/>
  <c r="F977" i="14"/>
  <c r="F912" i="14"/>
  <c r="B914" i="14" l="1"/>
  <c r="B850" i="14"/>
  <c r="B978" i="14"/>
  <c r="F849" i="14"/>
  <c r="F913" i="14"/>
  <c r="F978" i="14"/>
  <c r="B915" i="14" l="1"/>
  <c r="B851" i="14"/>
  <c r="B979" i="14"/>
  <c r="F850" i="14"/>
  <c r="F914" i="14"/>
  <c r="B1044" i="14" l="1"/>
  <c r="B916" i="14"/>
  <c r="B852" i="14"/>
  <c r="B980" i="14"/>
  <c r="F979" i="14"/>
  <c r="F1044" i="14"/>
  <c r="F915" i="14"/>
  <c r="F851" i="14"/>
  <c r="B917" i="14" l="1"/>
  <c r="B853" i="14"/>
  <c r="B1045" i="14"/>
  <c r="B981" i="14"/>
  <c r="F916" i="14"/>
  <c r="F980" i="14"/>
  <c r="F852" i="14"/>
  <c r="F1045" i="14"/>
  <c r="B1046" i="14" l="1"/>
  <c r="B918" i="14"/>
  <c r="B854" i="14"/>
  <c r="B982" i="14"/>
  <c r="F1046" i="14"/>
  <c r="F981" i="14"/>
  <c r="F917" i="14"/>
  <c r="F853" i="14"/>
  <c r="B919" i="14" l="1"/>
  <c r="B855" i="14"/>
  <c r="B983" i="14"/>
  <c r="B1047" i="14"/>
  <c r="F854" i="14"/>
  <c r="F982" i="14"/>
  <c r="F1047" i="14"/>
  <c r="F918" i="14"/>
  <c r="B1048" i="14" l="1"/>
  <c r="B920" i="14"/>
  <c r="B856" i="14"/>
  <c r="B984" i="14"/>
  <c r="F1048" i="14"/>
  <c r="F855" i="14"/>
  <c r="F983" i="14"/>
  <c r="F919" i="14"/>
  <c r="B1049" i="14" l="1"/>
  <c r="B921" i="14"/>
  <c r="B857" i="14"/>
  <c r="B985" i="14"/>
  <c r="F1049" i="14"/>
  <c r="F984" i="14"/>
  <c r="F920" i="14"/>
  <c r="F856" i="14"/>
  <c r="B922" i="14" l="1"/>
  <c r="B858" i="14"/>
  <c r="B986" i="14"/>
  <c r="B1050" i="14"/>
  <c r="F857" i="14"/>
  <c r="F1050" i="14"/>
  <c r="F985" i="14"/>
  <c r="F921" i="14"/>
  <c r="B1051" i="14" l="1"/>
  <c r="B923" i="14"/>
  <c r="B859" i="14"/>
  <c r="B987" i="14"/>
  <c r="F986" i="14"/>
  <c r="F858" i="14"/>
  <c r="F1051" i="14"/>
  <c r="F922" i="14"/>
  <c r="B1052" i="14" l="1"/>
  <c r="B924" i="14"/>
  <c r="B860" i="14"/>
  <c r="B988" i="14"/>
  <c r="F987" i="14"/>
  <c r="F859" i="14"/>
  <c r="F1052" i="14"/>
  <c r="F923" i="14"/>
  <c r="B1053" i="14" l="1"/>
  <c r="B925" i="14"/>
  <c r="B861" i="14"/>
  <c r="B989" i="14"/>
  <c r="F1053" i="14"/>
  <c r="F924" i="14"/>
  <c r="F988" i="14"/>
  <c r="F860" i="14"/>
  <c r="B1054" i="14" l="1"/>
  <c r="B926" i="14"/>
  <c r="B990" i="14"/>
  <c r="F1054" i="14"/>
  <c r="F925" i="14"/>
  <c r="F989" i="14"/>
  <c r="F861" i="14"/>
  <c r="B1055" i="14" l="1"/>
  <c r="B991" i="14"/>
  <c r="B927" i="14"/>
  <c r="F1055" i="14"/>
  <c r="F926" i="14"/>
  <c r="F990" i="14"/>
  <c r="B992" i="14" l="1"/>
  <c r="B928" i="14"/>
  <c r="B1056" i="14"/>
  <c r="F927" i="14"/>
  <c r="F1056" i="14"/>
  <c r="F991" i="14"/>
  <c r="B993" i="14" l="1"/>
  <c r="B929" i="14"/>
  <c r="B1057" i="14"/>
  <c r="F928" i="14"/>
  <c r="F992" i="14"/>
  <c r="F1057" i="14"/>
  <c r="B994" i="14" l="1"/>
  <c r="B930" i="14"/>
  <c r="B1058" i="14"/>
  <c r="F929" i="14"/>
  <c r="F1058" i="14"/>
  <c r="F993" i="14"/>
  <c r="B995" i="14" l="1"/>
  <c r="B931" i="14"/>
  <c r="B1059" i="14"/>
  <c r="F1059" i="14"/>
  <c r="F930" i="14"/>
  <c r="F994" i="14"/>
  <c r="B996" i="14" l="1"/>
  <c r="B932" i="14"/>
  <c r="B1060" i="14"/>
  <c r="F931" i="14"/>
  <c r="F995" i="14"/>
  <c r="F1060" i="14"/>
  <c r="B997" i="14" l="1"/>
  <c r="B933" i="14"/>
  <c r="B1061" i="14"/>
  <c r="F932" i="14"/>
  <c r="F1061" i="14"/>
  <c r="F996" i="14"/>
  <c r="B998" i="14" l="1"/>
  <c r="B934" i="14"/>
  <c r="B1062" i="14"/>
  <c r="F1062" i="14"/>
  <c r="F933" i="14"/>
  <c r="F997" i="14"/>
  <c r="B999" i="14" l="1"/>
  <c r="B935" i="14"/>
  <c r="B1063" i="14"/>
  <c r="F934" i="14"/>
  <c r="F998" i="14"/>
  <c r="F1063" i="14"/>
  <c r="B1000" i="14" l="1"/>
  <c r="B936" i="14"/>
  <c r="B1064" i="14"/>
  <c r="F1064" i="14"/>
  <c r="F935" i="14"/>
  <c r="F999" i="14"/>
  <c r="B1001" i="14" l="1"/>
  <c r="B937" i="14"/>
  <c r="B1065" i="14"/>
  <c r="F936" i="14"/>
  <c r="F1065" i="14"/>
  <c r="F1000" i="14"/>
  <c r="B1002" i="14" l="1"/>
  <c r="B938" i="14"/>
  <c r="B1066" i="14"/>
  <c r="F937" i="14"/>
  <c r="F1001" i="14"/>
  <c r="F1066" i="14"/>
  <c r="B1003" i="14" l="1"/>
  <c r="B939" i="14"/>
  <c r="B1067" i="14"/>
  <c r="F938" i="14"/>
  <c r="F1067" i="14"/>
  <c r="F1002" i="14"/>
  <c r="B1004" i="14" l="1"/>
  <c r="B940" i="14"/>
  <c r="B1068" i="14"/>
  <c r="F939" i="14"/>
  <c r="F1068" i="14"/>
  <c r="F1003" i="14"/>
  <c r="B1005" i="14" l="1"/>
  <c r="B941" i="14"/>
  <c r="B1069" i="14"/>
  <c r="F1069" i="14"/>
  <c r="F1004" i="14"/>
  <c r="F940" i="14"/>
  <c r="B1006" i="14" l="1"/>
  <c r="B942" i="14"/>
  <c r="B1070" i="14"/>
  <c r="F1005" i="14"/>
  <c r="F941" i="14"/>
  <c r="B1135" i="14" l="1"/>
  <c r="B1007" i="14"/>
  <c r="B943" i="14"/>
  <c r="B1071" i="14"/>
  <c r="F1135" i="14"/>
  <c r="F1070" i="14"/>
  <c r="F1006" i="14"/>
  <c r="F942" i="14"/>
  <c r="B1008" i="14" l="1"/>
  <c r="B944" i="14"/>
  <c r="B1136" i="14"/>
  <c r="B1072" i="14"/>
  <c r="F1071" i="14"/>
  <c r="F1136" i="14"/>
  <c r="F1007" i="14"/>
  <c r="F943" i="14"/>
  <c r="B1009" i="14" l="1"/>
  <c r="B945" i="14"/>
  <c r="B1137" i="14"/>
  <c r="B1073" i="14"/>
  <c r="F1137" i="14"/>
  <c r="F944" i="14"/>
  <c r="F1072" i="14"/>
  <c r="F1008" i="14"/>
  <c r="B1138" i="14" l="1"/>
  <c r="B1010" i="14"/>
  <c r="B946" i="14"/>
  <c r="B1074" i="14"/>
  <c r="F1073" i="14"/>
  <c r="F945" i="14"/>
  <c r="F1138" i="14"/>
  <c r="F1009" i="14"/>
  <c r="B1011" i="14" l="1"/>
  <c r="B947" i="14"/>
  <c r="B1139" i="14"/>
  <c r="B1075" i="14"/>
  <c r="F946" i="14"/>
  <c r="F1074" i="14"/>
  <c r="F1139" i="14"/>
  <c r="F1010" i="14"/>
  <c r="B1140" i="14" l="1"/>
  <c r="B1012" i="14"/>
  <c r="B948" i="14"/>
  <c r="B1076" i="14"/>
  <c r="F1075" i="14"/>
  <c r="F1140" i="14"/>
  <c r="F1011" i="14"/>
  <c r="F947" i="14"/>
  <c r="B1141" i="14" l="1"/>
  <c r="B1013" i="14"/>
  <c r="B949" i="14"/>
  <c r="B1077" i="14"/>
  <c r="F1076" i="14"/>
  <c r="F1141" i="14"/>
  <c r="F948" i="14"/>
  <c r="F1012" i="14"/>
  <c r="B1014" i="14" l="1"/>
  <c r="B950" i="14"/>
  <c r="B1142" i="14"/>
  <c r="B1078" i="14"/>
  <c r="F949" i="14"/>
  <c r="F1013" i="14"/>
  <c r="F1077" i="14"/>
  <c r="F1142" i="14"/>
  <c r="B1015" i="14" l="1"/>
  <c r="B951" i="14"/>
  <c r="B1143" i="14"/>
  <c r="B1079" i="14"/>
  <c r="F950" i="14"/>
  <c r="F1014" i="14"/>
  <c r="F1143" i="14"/>
  <c r="F1078" i="14"/>
  <c r="B1016" i="14" l="1"/>
  <c r="B952" i="14"/>
  <c r="B1144" i="14"/>
  <c r="B1080" i="14"/>
  <c r="F951" i="14"/>
  <c r="F1079" i="14"/>
  <c r="F1144" i="14"/>
  <c r="F1015" i="14"/>
  <c r="B1017" i="14" l="1"/>
  <c r="B1145" i="14"/>
  <c r="B1081" i="14"/>
  <c r="F1145" i="14"/>
  <c r="F1080" i="14"/>
  <c r="F952" i="14"/>
  <c r="F1016" i="14"/>
  <c r="B1146" i="14" l="1"/>
  <c r="B1082" i="14"/>
  <c r="B1018" i="14"/>
  <c r="F1081" i="14"/>
  <c r="F1146" i="14"/>
  <c r="F1017" i="14"/>
  <c r="B1083" i="14" l="1"/>
  <c r="B1019" i="14"/>
  <c r="B1147" i="14"/>
  <c r="F1018" i="14"/>
  <c r="F1082" i="14"/>
  <c r="F1147" i="14"/>
  <c r="B1084" i="14" l="1"/>
  <c r="B1020" i="14"/>
  <c r="B1148" i="14"/>
  <c r="F1019" i="14"/>
  <c r="F1083" i="14"/>
  <c r="F1148" i="14"/>
  <c r="B1085" i="14" l="1"/>
  <c r="B1021" i="14"/>
  <c r="B1149" i="14"/>
  <c r="F1020" i="14"/>
  <c r="F1149" i="14"/>
  <c r="F1084" i="14"/>
  <c r="B1086" i="14" l="1"/>
  <c r="B1022" i="14"/>
  <c r="B1150" i="14"/>
  <c r="F1021" i="14"/>
  <c r="F1085" i="14"/>
  <c r="F1150" i="14"/>
  <c r="B1087" i="14" l="1"/>
  <c r="B1023" i="14"/>
  <c r="B1151" i="14"/>
  <c r="F1022" i="14"/>
  <c r="F1086" i="14"/>
  <c r="F1151" i="14"/>
  <c r="B1088" i="14" l="1"/>
  <c r="B1024" i="14"/>
  <c r="B1152" i="14"/>
  <c r="F1023" i="14"/>
  <c r="F1152" i="14"/>
  <c r="F1087" i="14"/>
  <c r="B1089" i="14" l="1"/>
  <c r="B1025" i="14"/>
  <c r="B1153" i="14"/>
  <c r="F1024" i="14"/>
  <c r="F1153" i="14"/>
  <c r="F1088" i="14"/>
  <c r="B1090" i="14" l="1"/>
  <c r="B1026" i="14"/>
  <c r="B1154" i="14"/>
  <c r="F1025" i="14"/>
  <c r="F1089" i="14"/>
  <c r="F1154" i="14"/>
  <c r="B1091" i="14" l="1"/>
  <c r="B1027" i="14"/>
  <c r="B1155" i="14"/>
  <c r="F1026" i="14"/>
  <c r="F1090" i="14"/>
  <c r="F1155" i="14"/>
  <c r="B1092" i="14" l="1"/>
  <c r="B1028" i="14"/>
  <c r="B1156" i="14"/>
  <c r="F1027" i="14"/>
  <c r="F1091" i="14"/>
  <c r="F1156" i="14"/>
  <c r="B1093" i="14" l="1"/>
  <c r="B1029" i="14"/>
  <c r="B1157" i="14"/>
  <c r="F1028" i="14"/>
  <c r="F1157" i="14"/>
  <c r="F1092" i="14"/>
  <c r="B1094" i="14" l="1"/>
  <c r="B1030" i="14"/>
  <c r="B1158" i="14"/>
  <c r="F1029" i="14"/>
  <c r="F1158" i="14"/>
  <c r="F1093" i="14"/>
  <c r="B1095" i="14" l="1"/>
  <c r="B1031" i="14"/>
  <c r="B1159" i="14"/>
  <c r="F1030" i="14"/>
  <c r="F1159" i="14"/>
  <c r="F1094" i="14"/>
  <c r="B1096" i="14" l="1"/>
  <c r="B1032" i="14"/>
  <c r="B1160" i="14"/>
  <c r="F1160" i="14"/>
  <c r="F1095" i="14"/>
  <c r="F1031" i="14"/>
  <c r="B1097" i="14" l="1"/>
  <c r="B1033" i="14"/>
  <c r="B1161" i="14"/>
  <c r="F1032" i="14"/>
  <c r="F1096" i="14"/>
  <c r="B1226" i="14" l="1"/>
  <c r="B1098" i="14"/>
  <c r="B1034" i="14"/>
  <c r="B1162" i="14"/>
  <c r="F1161" i="14"/>
  <c r="F1097" i="14"/>
  <c r="F1033" i="14"/>
  <c r="F1226" i="14"/>
  <c r="B1227" i="14" l="1"/>
  <c r="B1099" i="14"/>
  <c r="B1035" i="14"/>
  <c r="B1163" i="14"/>
  <c r="F1162" i="14"/>
  <c r="F1098" i="14"/>
  <c r="F1227" i="14"/>
  <c r="F1034" i="14"/>
  <c r="B1228" i="14" l="1"/>
  <c r="B1100" i="14"/>
  <c r="B1036" i="14"/>
  <c r="B1164" i="14"/>
  <c r="F1163" i="14"/>
  <c r="F1099" i="14"/>
  <c r="F1035" i="14"/>
  <c r="F1228" i="14"/>
  <c r="B1229" i="14" l="1"/>
  <c r="B1101" i="14"/>
  <c r="B1037" i="14"/>
  <c r="B1165" i="14"/>
  <c r="F1164" i="14"/>
  <c r="F1100" i="14"/>
  <c r="F1229" i="14"/>
  <c r="F1036" i="14"/>
  <c r="B1230" i="14" l="1"/>
  <c r="B1102" i="14"/>
  <c r="B1038" i="14"/>
  <c r="B1166" i="14"/>
  <c r="F1230" i="14"/>
  <c r="F1101" i="14"/>
  <c r="F1165" i="14"/>
  <c r="F1037" i="14"/>
  <c r="B1103" i="14" l="1"/>
  <c r="B1039" i="14"/>
  <c r="B1167" i="14"/>
  <c r="B1231" i="14"/>
  <c r="F1038" i="14"/>
  <c r="F1102" i="14"/>
  <c r="F1166" i="14"/>
  <c r="F1231" i="14"/>
  <c r="B1232" i="14" l="1"/>
  <c r="B1104" i="14"/>
  <c r="B1040" i="14"/>
  <c r="B1168" i="14"/>
  <c r="F1232" i="14"/>
  <c r="F1039" i="14"/>
  <c r="F1167" i="14"/>
  <c r="F1103" i="14"/>
  <c r="B1233" i="14" l="1"/>
  <c r="B1105" i="14"/>
  <c r="B1041" i="14"/>
  <c r="B1169" i="14"/>
  <c r="F1233" i="14"/>
  <c r="F1040" i="14"/>
  <c r="F1104" i="14"/>
  <c r="F1168" i="14"/>
  <c r="B1234" i="14" l="1"/>
  <c r="B1042" i="14"/>
  <c r="B1106" i="14"/>
  <c r="B1170" i="14"/>
  <c r="F1169" i="14"/>
  <c r="F1105" i="14"/>
  <c r="F1234" i="14"/>
  <c r="F1041" i="14"/>
  <c r="B1235" i="14" l="1"/>
  <c r="B1171" i="14"/>
  <c r="B1107" i="14"/>
  <c r="B1043" i="14"/>
  <c r="F1170" i="14"/>
  <c r="F1042" i="14"/>
  <c r="F1235" i="14"/>
  <c r="F1106" i="14"/>
  <c r="B1172" i="14" l="1"/>
  <c r="B1108" i="14"/>
  <c r="B1236" i="14"/>
  <c r="F1107" i="14"/>
  <c r="F1236" i="14"/>
  <c r="F1043" i="14"/>
  <c r="F1171" i="14"/>
  <c r="B1173" i="14" l="1"/>
  <c r="B1109" i="14"/>
  <c r="B1237" i="14"/>
  <c r="F1108" i="14"/>
  <c r="F1172" i="14"/>
  <c r="F1237" i="14"/>
  <c r="B1174" i="14" l="1"/>
  <c r="B1110" i="14"/>
  <c r="B1238" i="14"/>
  <c r="F1109" i="14"/>
  <c r="F1173" i="14"/>
  <c r="F1238" i="14"/>
  <c r="B1175" i="14" l="1"/>
  <c r="B1111" i="14"/>
  <c r="B1239" i="14"/>
  <c r="F1110" i="14"/>
  <c r="F1239" i="14"/>
  <c r="F1174" i="14"/>
  <c r="B1176" i="14" l="1"/>
  <c r="B1112" i="14"/>
  <c r="B1240" i="14"/>
  <c r="F1111" i="14"/>
  <c r="F1240" i="14"/>
  <c r="F1175" i="14"/>
  <c r="B1177" i="14" l="1"/>
  <c r="B1113" i="14"/>
  <c r="B1241" i="14"/>
  <c r="F1241" i="14"/>
  <c r="F1176" i="14"/>
  <c r="F1112" i="14"/>
  <c r="B1178" i="14" l="1"/>
  <c r="B1114" i="14"/>
  <c r="B1242" i="14"/>
  <c r="F1113" i="14"/>
  <c r="F1177" i="14"/>
  <c r="F1242" i="14"/>
  <c r="B1179" i="14" l="1"/>
  <c r="B1115" i="14"/>
  <c r="B1243" i="14"/>
  <c r="F1114" i="14"/>
  <c r="F1178" i="14"/>
  <c r="F1243" i="14"/>
  <c r="B1180" i="14" l="1"/>
  <c r="B1116" i="14"/>
  <c r="B1244" i="14"/>
  <c r="F1115" i="14"/>
  <c r="F1179" i="14"/>
  <c r="F1244" i="14"/>
  <c r="B1181" i="14" l="1"/>
  <c r="B1117" i="14"/>
  <c r="B1245" i="14"/>
  <c r="F1116" i="14"/>
  <c r="F1245" i="14"/>
  <c r="F1180" i="14"/>
  <c r="B1182" i="14" l="1"/>
  <c r="B1118" i="14"/>
  <c r="B1246" i="14"/>
  <c r="F1117" i="14"/>
  <c r="F1181" i="14"/>
  <c r="F1246" i="14"/>
  <c r="B1183" i="14" l="1"/>
  <c r="B1119" i="14"/>
  <c r="B1247" i="14"/>
  <c r="F1118" i="14"/>
  <c r="F1247" i="14"/>
  <c r="F1182" i="14"/>
  <c r="B1184" i="14" l="1"/>
  <c r="B1120" i="14"/>
  <c r="B1248" i="14"/>
  <c r="F1119" i="14"/>
  <c r="F1248" i="14"/>
  <c r="F1183" i="14"/>
  <c r="B1185" i="14" l="1"/>
  <c r="B1121" i="14"/>
  <c r="B1249" i="14"/>
  <c r="F1120" i="14"/>
  <c r="F1184" i="14"/>
  <c r="F1249" i="14"/>
  <c r="B1186" i="14" l="1"/>
  <c r="B1122" i="14"/>
  <c r="B1250" i="14"/>
  <c r="F1121" i="14"/>
  <c r="F1250" i="14"/>
  <c r="F1185" i="14"/>
  <c r="B1187" i="14" l="1"/>
  <c r="B1123" i="14"/>
  <c r="B1251" i="14"/>
  <c r="F1122" i="14"/>
  <c r="F1251" i="14"/>
  <c r="F1186" i="14"/>
  <c r="B1188" i="14" l="1"/>
  <c r="B1124" i="14"/>
  <c r="B1252" i="14"/>
  <c r="F1123" i="14"/>
  <c r="F1187" i="14"/>
  <c r="B1317" i="14" l="1"/>
  <c r="B1189" i="14"/>
  <c r="B1125" i="14"/>
  <c r="B1253" i="14"/>
  <c r="F1317" i="14"/>
  <c r="F1252" i="14"/>
  <c r="F1124" i="14"/>
  <c r="F1188" i="14"/>
  <c r="B1190" i="14" l="1"/>
  <c r="B1126" i="14"/>
  <c r="B1254" i="14"/>
  <c r="B1318" i="14"/>
  <c r="F1189" i="14"/>
  <c r="F1318" i="14"/>
  <c r="F1125" i="14"/>
  <c r="F1253" i="14"/>
  <c r="B1319" i="14" l="1"/>
  <c r="B1191" i="14"/>
  <c r="B1127" i="14"/>
  <c r="B1255" i="14"/>
  <c r="F1319" i="14"/>
  <c r="F1190" i="14"/>
  <c r="F1126" i="14"/>
  <c r="F1254" i="14"/>
  <c r="B1192" i="14" l="1"/>
  <c r="B1128" i="14"/>
  <c r="B1256" i="14"/>
  <c r="B1320" i="14"/>
  <c r="F1320" i="14"/>
  <c r="F1191" i="14"/>
  <c r="F1255" i="14"/>
  <c r="F1127" i="14"/>
  <c r="B1193" i="14" l="1"/>
  <c r="B1129" i="14"/>
  <c r="B1321" i="14"/>
  <c r="B1257" i="14"/>
  <c r="F1256" i="14"/>
  <c r="F1192" i="14"/>
  <c r="F1321" i="14"/>
  <c r="F1128" i="14"/>
  <c r="B1322" i="14" l="1"/>
  <c r="B1130" i="14"/>
  <c r="B1194" i="14"/>
  <c r="B1258" i="14"/>
  <c r="F1257" i="14"/>
  <c r="F1322" i="14"/>
  <c r="F1193" i="14"/>
  <c r="F1129" i="14"/>
  <c r="B1323" i="14" l="1"/>
  <c r="B1259" i="14"/>
  <c r="B1195" i="14"/>
  <c r="B1131" i="14"/>
  <c r="F1258" i="14"/>
  <c r="F1194" i="14"/>
  <c r="F1323" i="14"/>
  <c r="F1130" i="14"/>
  <c r="B1260" i="14" l="1"/>
  <c r="B1196" i="14"/>
  <c r="B1132" i="14"/>
  <c r="B1324" i="14"/>
  <c r="F1195" i="14"/>
  <c r="F1324" i="14"/>
  <c r="F1259" i="14"/>
  <c r="F1131" i="14"/>
  <c r="B1197" i="14" l="1"/>
  <c r="B1133" i="14"/>
  <c r="B1325" i="14"/>
  <c r="B1261" i="14"/>
  <c r="F1325" i="14"/>
  <c r="F1260" i="14"/>
  <c r="F1132" i="14"/>
  <c r="F1196" i="14"/>
  <c r="B1326" i="14" l="1"/>
  <c r="B1198" i="14"/>
  <c r="B1134" i="14"/>
  <c r="B1262" i="14"/>
  <c r="F1326" i="14"/>
  <c r="F1197" i="14"/>
  <c r="F1133" i="14"/>
  <c r="F1261" i="14"/>
  <c r="B1199" i="14" l="1"/>
  <c r="B1263" i="14"/>
  <c r="B1327" i="14"/>
  <c r="F1134" i="14"/>
  <c r="F1262" i="14"/>
  <c r="F1198" i="14"/>
  <c r="F1327" i="14"/>
  <c r="B1328" i="14" l="1"/>
  <c r="B1264" i="14"/>
  <c r="B1200" i="14"/>
  <c r="F1328" i="14"/>
  <c r="F1263" i="14"/>
  <c r="F1199" i="14"/>
  <c r="B1265" i="14" l="1"/>
  <c r="B1201" i="14"/>
  <c r="B1329" i="14"/>
  <c r="F1264" i="14"/>
  <c r="F1329" i="14"/>
  <c r="F1200" i="14"/>
  <c r="B1266" i="14" l="1"/>
  <c r="B1202" i="14"/>
  <c r="B1330" i="14"/>
  <c r="F1201" i="14"/>
  <c r="F1330" i="14"/>
  <c r="F1265" i="14"/>
  <c r="B1267" i="14" l="1"/>
  <c r="B1203" i="14"/>
  <c r="B1331" i="14"/>
  <c r="F1202" i="14"/>
  <c r="F1266" i="14"/>
  <c r="F1331" i="14"/>
  <c r="B1268" i="14" l="1"/>
  <c r="B1204" i="14"/>
  <c r="B1332" i="14"/>
  <c r="F1203" i="14"/>
  <c r="F1332" i="14"/>
  <c r="F1267" i="14"/>
  <c r="B1269" i="14" l="1"/>
  <c r="B1205" i="14"/>
  <c r="B1333" i="14"/>
  <c r="F1204" i="14"/>
  <c r="F1333" i="14"/>
  <c r="F1268" i="14"/>
  <c r="B1270" i="14" l="1"/>
  <c r="B1206" i="14"/>
  <c r="B1334" i="14"/>
  <c r="F1334" i="14"/>
  <c r="F1269" i="14"/>
  <c r="F1205" i="14"/>
  <c r="B1271" i="14" l="1"/>
  <c r="B1207" i="14"/>
  <c r="B1335" i="14"/>
  <c r="F1206" i="14"/>
  <c r="F1270" i="14"/>
  <c r="F1335" i="14"/>
  <c r="B1272" i="14" l="1"/>
  <c r="B1208" i="14"/>
  <c r="B1336" i="14"/>
  <c r="F1207" i="14"/>
  <c r="F1271" i="14"/>
  <c r="F1336" i="14"/>
  <c r="B1273" i="14" l="1"/>
  <c r="B1209" i="14"/>
  <c r="B1337" i="14"/>
  <c r="F1337" i="14"/>
  <c r="F1208" i="14"/>
  <c r="F1272" i="14"/>
  <c r="B1210" i="14" l="1"/>
  <c r="B1274" i="14"/>
  <c r="B1338" i="14"/>
  <c r="F1209" i="14"/>
  <c r="F1273" i="14"/>
  <c r="F1338" i="14"/>
  <c r="B1339" i="14" l="1"/>
  <c r="B1275" i="14"/>
  <c r="B1211" i="14"/>
  <c r="F1274" i="14"/>
  <c r="F1339" i="14"/>
  <c r="F1210" i="14"/>
  <c r="B1276" i="14" l="1"/>
  <c r="B1212" i="14"/>
  <c r="B1340" i="14"/>
  <c r="F1275" i="14"/>
  <c r="F1211" i="14"/>
  <c r="F1340" i="14"/>
  <c r="B1277" i="14" l="1"/>
  <c r="B1213" i="14"/>
  <c r="B1341" i="14"/>
  <c r="F1212" i="14"/>
  <c r="F1276" i="14"/>
  <c r="F1341" i="14"/>
  <c r="B1278" i="14" l="1"/>
  <c r="B1214" i="14"/>
  <c r="B1342" i="14"/>
  <c r="F1213" i="14"/>
  <c r="F1342" i="14"/>
  <c r="F1277" i="14"/>
  <c r="B1343" i="14" l="1"/>
  <c r="B1279" i="14"/>
  <c r="B1215" i="14"/>
  <c r="F1278" i="14"/>
  <c r="F1214" i="14"/>
  <c r="B1280" i="14" l="1"/>
  <c r="B1216" i="14"/>
  <c r="B1344" i="14"/>
  <c r="B1408" i="14"/>
  <c r="F1215" i="14"/>
  <c r="F1279" i="14"/>
  <c r="F1408" i="14"/>
  <c r="F1343" i="14"/>
  <c r="B1409" i="14" l="1"/>
  <c r="B1281" i="14"/>
  <c r="B1217" i="14"/>
  <c r="B1345" i="14"/>
  <c r="F1409" i="14"/>
  <c r="F1344" i="14"/>
  <c r="F1280" i="14"/>
  <c r="F1216" i="14"/>
  <c r="B1282" i="14" l="1"/>
  <c r="B1218" i="14"/>
  <c r="B1410" i="14"/>
  <c r="B1346" i="14"/>
  <c r="F1217" i="14"/>
  <c r="F1345" i="14"/>
  <c r="F1281" i="14"/>
  <c r="F1410" i="14"/>
  <c r="B1411" i="14" l="1"/>
  <c r="B1283" i="14"/>
  <c r="B1219" i="14"/>
  <c r="B1347" i="14"/>
  <c r="F1346" i="14"/>
  <c r="F1411" i="14"/>
  <c r="F1218" i="14"/>
  <c r="F1282" i="14"/>
  <c r="B1284" i="14" l="1"/>
  <c r="B1220" i="14"/>
  <c r="B1348" i="14"/>
  <c r="B1412" i="14"/>
  <c r="F1219" i="14"/>
  <c r="F1283" i="14"/>
  <c r="F1347" i="14"/>
  <c r="F1412" i="14"/>
  <c r="B1413" i="14" l="1"/>
  <c r="B1285" i="14"/>
  <c r="B1221" i="14"/>
  <c r="B1349" i="14"/>
  <c r="F1348" i="14"/>
  <c r="F1413" i="14"/>
  <c r="F1220" i="14"/>
  <c r="F1284" i="14"/>
  <c r="B1414" i="14" l="1"/>
  <c r="B1286" i="14"/>
  <c r="B1222" i="14"/>
  <c r="B1350" i="14"/>
  <c r="F1414" i="14"/>
  <c r="F1285" i="14"/>
  <c r="F1221" i="14"/>
  <c r="F1349" i="14"/>
  <c r="B1287" i="14" l="1"/>
  <c r="B1223" i="14"/>
  <c r="B1415" i="14"/>
  <c r="B1351" i="14"/>
  <c r="F1222" i="14"/>
  <c r="F1415" i="14"/>
  <c r="F1286" i="14"/>
  <c r="F1350" i="14"/>
  <c r="B1416" i="14" l="1"/>
  <c r="B1288" i="14"/>
  <c r="B1224" i="14"/>
  <c r="B1352" i="14"/>
  <c r="F1416" i="14"/>
  <c r="F1223" i="14"/>
  <c r="F1287" i="14"/>
  <c r="F1351" i="14"/>
  <c r="B1289" i="14" l="1"/>
  <c r="B1225" i="14"/>
  <c r="B1417" i="14"/>
  <c r="B1353" i="14"/>
  <c r="F1224" i="14"/>
  <c r="F1417" i="14"/>
  <c r="F1352" i="14"/>
  <c r="F1288" i="14"/>
  <c r="B1418" i="14" l="1"/>
  <c r="B1290" i="14"/>
  <c r="B1354" i="14"/>
  <c r="F1418" i="14"/>
  <c r="F1353" i="14"/>
  <c r="F1289" i="14"/>
  <c r="F1225" i="14"/>
  <c r="B1419" i="14" l="1"/>
  <c r="B1355" i="14"/>
  <c r="B1291" i="14"/>
  <c r="F1354" i="14"/>
  <c r="F1290" i="14"/>
  <c r="F1419" i="14"/>
  <c r="B1356" i="14" l="1"/>
  <c r="B1292" i="14"/>
  <c r="B1420" i="14"/>
  <c r="F1291" i="14"/>
  <c r="F1420" i="14"/>
  <c r="F1355" i="14"/>
  <c r="B1357" i="14" l="1"/>
  <c r="B1293" i="14"/>
  <c r="B1421" i="14"/>
  <c r="F1292" i="14"/>
  <c r="F1421" i="14"/>
  <c r="F1356" i="14"/>
  <c r="B1358" i="14" l="1"/>
  <c r="B1294" i="14"/>
  <c r="B1422" i="14"/>
  <c r="F1293" i="14"/>
  <c r="F1422" i="14"/>
  <c r="F1357" i="14"/>
  <c r="B1295" i="14" l="1"/>
  <c r="B1359" i="14"/>
  <c r="B1423" i="14"/>
  <c r="F1358" i="14"/>
  <c r="F1294" i="14"/>
  <c r="F1423" i="14"/>
  <c r="B1424" i="14" l="1"/>
  <c r="B1360" i="14"/>
  <c r="B1296" i="14"/>
  <c r="F1359" i="14"/>
  <c r="F1424" i="14"/>
  <c r="F1295" i="14"/>
  <c r="B1361" i="14" l="1"/>
  <c r="B1297" i="14"/>
  <c r="B1425" i="14"/>
  <c r="F1296" i="14"/>
  <c r="F1425" i="14"/>
  <c r="F1360" i="14"/>
  <c r="B1362" i="14" l="1"/>
  <c r="B1298" i="14"/>
  <c r="B1426" i="14"/>
  <c r="F1297" i="14"/>
  <c r="F1426" i="14"/>
  <c r="F1361" i="14"/>
  <c r="B1299" i="14" l="1"/>
  <c r="B1363" i="14"/>
  <c r="B1427" i="14"/>
  <c r="F1298" i="14"/>
  <c r="F1362" i="14"/>
  <c r="F1427" i="14"/>
  <c r="B1428" i="14" l="1"/>
  <c r="B1364" i="14"/>
  <c r="B1300" i="14"/>
  <c r="F1363" i="14"/>
  <c r="F1299" i="14"/>
  <c r="F1428" i="14"/>
  <c r="B1301" i="14" l="1"/>
  <c r="B1365" i="14"/>
  <c r="B1429" i="14"/>
  <c r="F1300" i="14"/>
  <c r="F1429" i="14"/>
  <c r="F1364" i="14"/>
  <c r="B1366" i="14" l="1"/>
  <c r="B1302" i="14"/>
  <c r="B1430" i="14"/>
  <c r="F1301" i="14"/>
  <c r="F1430" i="14"/>
  <c r="F1365" i="14"/>
  <c r="B1303" i="14" l="1"/>
  <c r="B1367" i="14"/>
  <c r="B1431" i="14"/>
  <c r="F1302" i="14"/>
  <c r="F1366" i="14"/>
  <c r="F1431" i="14"/>
  <c r="B1432" i="14" l="1"/>
  <c r="B1368" i="14"/>
  <c r="B1304" i="14"/>
  <c r="F1432" i="14"/>
  <c r="F1303" i="14"/>
  <c r="F1367" i="14"/>
  <c r="B1369" i="14" l="1"/>
  <c r="B1305" i="14"/>
  <c r="B1433" i="14"/>
  <c r="F1304" i="14"/>
  <c r="F1368" i="14"/>
  <c r="F1433" i="14"/>
  <c r="B1370" i="14" l="1"/>
  <c r="B1306" i="14"/>
  <c r="B1434" i="14"/>
  <c r="F1305" i="14"/>
  <c r="F1369" i="14"/>
  <c r="B1499" i="14" l="1"/>
  <c r="B1307" i="14"/>
  <c r="B1371" i="14"/>
  <c r="B1435" i="14"/>
  <c r="F1434" i="14"/>
  <c r="F1306" i="14"/>
  <c r="F1370" i="14"/>
  <c r="F1499" i="14"/>
  <c r="B1500" i="14" l="1"/>
  <c r="B1436" i="14"/>
  <c r="B1372" i="14"/>
  <c r="B1308" i="14"/>
  <c r="F1435" i="14"/>
  <c r="F1307" i="14"/>
  <c r="F1371" i="14"/>
  <c r="F1500" i="14"/>
  <c r="B1373" i="14" l="1"/>
  <c r="B1309" i="14"/>
  <c r="B1437" i="14"/>
  <c r="B1501" i="14"/>
  <c r="F1308" i="14"/>
  <c r="F1372" i="14"/>
  <c r="F1436" i="14"/>
  <c r="F1501" i="14"/>
  <c r="B1374" i="14" l="1"/>
  <c r="B1310" i="14"/>
  <c r="B1438" i="14"/>
  <c r="B1502" i="14"/>
  <c r="F1373" i="14"/>
  <c r="F1437" i="14"/>
  <c r="F1309" i="14"/>
  <c r="F1502" i="14"/>
  <c r="B1503" i="14" l="1"/>
  <c r="B1311" i="14"/>
  <c r="B1375" i="14"/>
  <c r="B1439" i="14"/>
  <c r="F1438" i="14"/>
  <c r="F1503" i="14"/>
  <c r="F1310" i="14"/>
  <c r="F1374" i="14"/>
  <c r="B1440" i="14" l="1"/>
  <c r="B1376" i="14"/>
  <c r="B1312" i="14"/>
  <c r="B1504" i="14"/>
  <c r="F1504" i="14"/>
  <c r="F1439" i="14"/>
  <c r="F1311" i="14"/>
  <c r="F1375" i="14"/>
  <c r="B1377" i="14" l="1"/>
  <c r="B1313" i="14"/>
  <c r="B1441" i="14"/>
  <c r="B1505" i="14"/>
  <c r="F1312" i="14"/>
  <c r="F1505" i="14"/>
  <c r="F1376" i="14"/>
  <c r="F1440" i="14"/>
  <c r="B1506" i="14" l="1"/>
  <c r="B1378" i="14"/>
  <c r="B1314" i="14"/>
  <c r="B1442" i="14"/>
  <c r="F1506" i="14"/>
  <c r="F1441" i="14"/>
  <c r="F1313" i="14"/>
  <c r="F1377" i="14"/>
  <c r="B1443" i="14" l="1"/>
  <c r="B1507" i="14"/>
  <c r="B1315" i="14"/>
  <c r="B1379" i="14"/>
  <c r="F1442" i="14"/>
  <c r="F1378" i="14"/>
  <c r="F1314" i="14"/>
  <c r="F1507" i="14"/>
  <c r="B1444" i="14" l="1"/>
  <c r="B1380" i="14"/>
  <c r="B1316" i="14"/>
  <c r="B1508" i="14"/>
  <c r="F1379" i="14"/>
  <c r="F1443" i="14"/>
  <c r="F1315" i="14"/>
  <c r="F1508" i="14"/>
  <c r="B1381" i="14" l="1"/>
  <c r="B1445" i="14"/>
  <c r="B1509" i="14"/>
  <c r="F1316" i="14"/>
  <c r="F1380" i="14"/>
  <c r="F1444" i="14"/>
  <c r="F1509" i="14"/>
  <c r="B1510" i="14" l="1"/>
  <c r="B1446" i="14"/>
  <c r="B1382" i="14"/>
  <c r="F1445" i="14"/>
  <c r="F1381" i="14"/>
  <c r="F1510" i="14"/>
  <c r="B1447" i="14" l="1"/>
  <c r="B1383" i="14"/>
  <c r="B1511" i="14"/>
  <c r="F1382" i="14"/>
  <c r="F1511" i="14"/>
  <c r="F1446" i="14"/>
  <c r="B1448" i="14" l="1"/>
  <c r="B1384" i="14"/>
  <c r="B1512" i="14"/>
  <c r="F1383" i="14"/>
  <c r="F1447" i="14"/>
  <c r="F1512" i="14"/>
  <c r="B1449" i="14" l="1"/>
  <c r="B1385" i="14"/>
  <c r="B1513" i="14"/>
  <c r="F1384" i="14"/>
  <c r="F1448" i="14"/>
  <c r="F1513" i="14"/>
  <c r="B1450" i="14" l="1"/>
  <c r="B1386" i="14"/>
  <c r="B1514" i="14"/>
  <c r="F1385" i="14"/>
  <c r="F1449" i="14"/>
  <c r="F1514" i="14"/>
  <c r="B1451" i="14" l="1"/>
  <c r="B1387" i="14"/>
  <c r="B1515" i="14"/>
  <c r="F1386" i="14"/>
  <c r="F1515" i="14"/>
  <c r="F1450" i="14"/>
  <c r="B1452" i="14" l="1"/>
  <c r="B1388" i="14"/>
  <c r="B1516" i="14"/>
  <c r="F1387" i="14"/>
  <c r="F1516" i="14"/>
  <c r="F1451" i="14"/>
  <c r="B1453" i="14" l="1"/>
  <c r="B1389" i="14"/>
  <c r="B1517" i="14"/>
  <c r="F1388" i="14"/>
  <c r="F1452" i="14"/>
  <c r="F1517" i="14"/>
  <c r="B1454" i="14" l="1"/>
  <c r="B1390" i="14"/>
  <c r="B1518" i="14"/>
  <c r="F1389" i="14"/>
  <c r="F1453" i="14"/>
  <c r="F1518" i="14"/>
  <c r="B1391" i="14" l="1"/>
  <c r="B1455" i="14"/>
  <c r="B1519" i="14"/>
  <c r="F1390" i="14"/>
  <c r="F1454" i="14"/>
  <c r="F1519" i="14"/>
  <c r="B1520" i="14" l="1"/>
  <c r="B1456" i="14"/>
  <c r="B1392" i="14"/>
  <c r="F1520" i="14"/>
  <c r="F1391" i="14"/>
  <c r="F1455" i="14"/>
  <c r="B1457" i="14" l="1"/>
  <c r="B1393" i="14"/>
  <c r="B1521" i="14"/>
  <c r="F1521" i="14"/>
  <c r="F1456" i="14"/>
  <c r="F1392" i="14"/>
  <c r="B1458" i="14" l="1"/>
  <c r="B1394" i="14"/>
  <c r="B1522" i="14"/>
  <c r="F1393" i="14"/>
  <c r="F1522" i="14"/>
  <c r="F1457" i="14"/>
  <c r="B1459" i="14" l="1"/>
  <c r="B1395" i="14"/>
  <c r="B1523" i="14"/>
  <c r="F1523" i="14"/>
  <c r="F1458" i="14"/>
  <c r="F1394" i="14"/>
  <c r="B1460" i="14" l="1"/>
  <c r="B1396" i="14"/>
  <c r="B1524" i="14"/>
  <c r="F1395" i="14"/>
  <c r="F1459" i="14"/>
  <c r="F1524" i="14"/>
  <c r="B1397" i="14" l="1"/>
  <c r="B1461" i="14"/>
  <c r="B1525" i="14"/>
  <c r="F1396" i="14"/>
  <c r="F1460" i="14"/>
  <c r="B1590" i="14" l="1"/>
  <c r="B1526" i="14"/>
  <c r="B1462" i="14"/>
  <c r="B1398" i="14"/>
  <c r="F1590" i="14"/>
  <c r="F1525" i="14"/>
  <c r="F1461" i="14"/>
  <c r="F1397" i="14"/>
  <c r="B1591" i="14" l="1"/>
  <c r="B1463" i="14"/>
  <c r="B1399" i="14"/>
  <c r="B1527" i="14"/>
  <c r="F1591" i="14"/>
  <c r="F1462" i="14"/>
  <c r="F1526" i="14"/>
  <c r="F1398" i="14"/>
  <c r="B1464" i="14" l="1"/>
  <c r="B1400" i="14"/>
  <c r="B1592" i="14"/>
  <c r="B1528" i="14"/>
  <c r="F1592" i="14"/>
  <c r="F1527" i="14"/>
  <c r="F1399" i="14"/>
  <c r="F1463" i="14"/>
  <c r="B1593" i="14" l="1"/>
  <c r="B1465" i="14"/>
  <c r="B1401" i="14"/>
  <c r="B1529" i="14"/>
  <c r="F1528" i="14"/>
  <c r="F1593" i="14"/>
  <c r="F1400" i="14"/>
  <c r="F1464" i="14"/>
  <c r="B1466" i="14" l="1"/>
  <c r="B1402" i="14"/>
  <c r="B1530" i="14"/>
  <c r="B1594" i="14"/>
  <c r="F1465" i="14"/>
  <c r="F1529" i="14"/>
  <c r="F1401" i="14"/>
  <c r="F1594" i="14"/>
  <c r="B1467" i="14" l="1"/>
  <c r="B1403" i="14"/>
  <c r="B1595" i="14"/>
  <c r="B1531" i="14"/>
  <c r="F1402" i="14"/>
  <c r="F1595" i="14"/>
  <c r="F1466" i="14"/>
  <c r="F1530" i="14"/>
  <c r="B1468" i="14" l="1"/>
  <c r="B1404" i="14"/>
  <c r="B1532" i="14"/>
  <c r="B1596" i="14"/>
  <c r="F1403" i="14"/>
  <c r="F1596" i="14"/>
  <c r="F1531" i="14"/>
  <c r="F1467" i="14"/>
  <c r="B1469" i="14" l="1"/>
  <c r="B1405" i="14"/>
  <c r="B1597" i="14"/>
  <c r="B1533" i="14"/>
  <c r="F1404" i="14"/>
  <c r="F1597" i="14"/>
  <c r="F1468" i="14"/>
  <c r="F1532" i="14"/>
  <c r="B1470" i="14" l="1"/>
  <c r="B1406" i="14"/>
  <c r="B1534" i="14"/>
  <c r="B1598" i="14"/>
  <c r="F1405" i="14"/>
  <c r="F1469" i="14"/>
  <c r="F1598" i="14"/>
  <c r="F1533" i="14"/>
  <c r="B1599" i="14" l="1"/>
  <c r="B1471" i="14"/>
  <c r="B1407" i="14"/>
  <c r="B1535" i="14"/>
  <c r="F1599" i="14"/>
  <c r="F1470" i="14"/>
  <c r="F1534" i="14"/>
  <c r="F1406" i="14"/>
  <c r="B1600" i="14" l="1"/>
  <c r="B1472" i="14"/>
  <c r="B1536" i="14"/>
  <c r="F1600" i="14"/>
  <c r="F1471" i="14"/>
  <c r="F1407" i="14"/>
  <c r="F1535" i="14"/>
  <c r="B1537" i="14" l="1"/>
  <c r="B1473" i="14"/>
  <c r="B1601" i="14"/>
  <c r="F1536" i="14"/>
  <c r="F1472" i="14"/>
  <c r="F1601" i="14"/>
  <c r="B1474" i="14" l="1"/>
  <c r="B1538" i="14"/>
  <c r="B1602" i="14"/>
  <c r="F1602" i="14"/>
  <c r="F1537" i="14"/>
  <c r="F1473" i="14"/>
  <c r="B1603" i="14" l="1"/>
  <c r="B1539" i="14"/>
  <c r="B1475" i="14"/>
  <c r="F1603" i="14"/>
  <c r="F1538" i="14"/>
  <c r="F1474" i="14"/>
  <c r="B1540" i="14" l="1"/>
  <c r="B1476" i="14"/>
  <c r="B1604" i="14"/>
  <c r="F1539" i="14"/>
  <c r="F1604" i="14"/>
  <c r="F1475" i="14"/>
  <c r="B1541" i="14" l="1"/>
  <c r="B1477" i="14"/>
  <c r="B1605" i="14"/>
  <c r="F1540" i="14"/>
  <c r="F1605" i="14"/>
  <c r="F1476" i="14"/>
  <c r="B1542" i="14" l="1"/>
  <c r="B1478" i="14"/>
  <c r="B1606" i="14"/>
  <c r="F1477" i="14"/>
  <c r="F1606" i="14"/>
  <c r="F1541" i="14"/>
  <c r="B1543" i="14" l="1"/>
  <c r="B1479" i="14"/>
  <c r="B1607" i="14"/>
  <c r="F1607" i="14"/>
  <c r="F1542" i="14"/>
  <c r="F1478" i="14"/>
  <c r="B1480" i="14" l="1"/>
  <c r="B1544" i="14"/>
  <c r="B1608" i="14"/>
  <c r="F1479" i="14"/>
  <c r="F1543" i="14"/>
  <c r="F1608" i="14"/>
  <c r="B1609" i="14" l="1"/>
  <c r="B1481" i="14"/>
  <c r="B1545" i="14"/>
  <c r="F1544" i="14"/>
  <c r="F1609" i="14"/>
  <c r="F1480" i="14"/>
  <c r="B1610" i="14" l="1"/>
  <c r="B1546" i="14"/>
  <c r="B1482" i="14"/>
  <c r="F1545" i="14"/>
  <c r="F1481" i="14"/>
  <c r="F1610" i="14"/>
  <c r="B1547" i="14" l="1"/>
  <c r="B1483" i="14"/>
  <c r="B1611" i="14"/>
  <c r="F1482" i="14"/>
  <c r="F1611" i="14"/>
  <c r="F1546" i="14"/>
  <c r="B1548" i="14" l="1"/>
  <c r="B1484" i="14"/>
  <c r="B1612" i="14"/>
  <c r="F1547" i="14"/>
  <c r="F1483" i="14"/>
  <c r="F1612" i="14"/>
  <c r="B1549" i="14" l="1"/>
  <c r="B1485" i="14"/>
  <c r="B1613" i="14"/>
  <c r="F1484" i="14"/>
  <c r="F1548" i="14"/>
  <c r="F1613" i="14"/>
  <c r="B1486" i="14" l="1"/>
  <c r="B1550" i="14"/>
  <c r="B1614" i="14"/>
  <c r="F1485" i="14"/>
  <c r="F1549" i="14"/>
  <c r="F1614" i="14"/>
  <c r="B1615" i="14" l="1"/>
  <c r="B1551" i="14"/>
  <c r="B1487" i="14"/>
  <c r="F1550" i="14"/>
  <c r="F1615" i="14"/>
  <c r="F1486" i="14"/>
  <c r="B1616" i="14" l="1"/>
  <c r="B1552" i="14"/>
  <c r="B1488" i="14"/>
  <c r="F1487" i="14"/>
  <c r="F1551" i="14"/>
  <c r="B1553" i="14" l="1"/>
  <c r="B1489" i="14"/>
  <c r="B1617" i="14"/>
  <c r="B1681" i="14"/>
  <c r="F1552" i="14"/>
  <c r="F1681" i="14"/>
  <c r="F1616" i="14"/>
  <c r="F1488" i="14"/>
  <c r="B1490" i="14" l="1"/>
  <c r="B1554" i="14"/>
  <c r="B1682" i="14"/>
  <c r="B1618" i="14"/>
  <c r="F1617" i="14"/>
  <c r="F1489" i="14"/>
  <c r="F1553" i="14"/>
  <c r="F1682" i="14"/>
  <c r="B1619" i="14" l="1"/>
  <c r="B1683" i="14"/>
  <c r="B1555" i="14"/>
  <c r="B1491" i="14"/>
  <c r="F1554" i="14"/>
  <c r="F1618" i="14"/>
  <c r="F1683" i="14"/>
  <c r="F1490" i="14"/>
  <c r="B1684" i="14" l="1"/>
  <c r="B1492" i="14"/>
  <c r="B1556" i="14"/>
  <c r="B1620" i="14"/>
  <c r="F1619" i="14"/>
  <c r="F1491" i="14"/>
  <c r="F1555" i="14"/>
  <c r="F1684" i="14"/>
  <c r="B1685" i="14" l="1"/>
  <c r="B1621" i="14"/>
  <c r="B1557" i="14"/>
  <c r="B1493" i="14"/>
  <c r="F1620" i="14"/>
  <c r="F1685" i="14"/>
  <c r="F1556" i="14"/>
  <c r="F1492" i="14"/>
  <c r="B1686" i="14" l="1"/>
  <c r="B1558" i="14"/>
  <c r="B1494" i="14"/>
  <c r="B1622" i="14"/>
  <c r="F1686" i="14"/>
  <c r="F1557" i="14"/>
  <c r="F1621" i="14"/>
  <c r="F1493" i="14"/>
  <c r="B1623" i="14" l="1"/>
  <c r="B1559" i="14"/>
  <c r="B1495" i="14"/>
  <c r="B1687" i="14"/>
  <c r="F1494" i="14"/>
  <c r="F1558" i="14"/>
  <c r="F1687" i="14"/>
  <c r="F1622" i="14"/>
  <c r="B1560" i="14" l="1"/>
  <c r="B1496" i="14"/>
  <c r="B1624" i="14"/>
  <c r="B1688" i="14"/>
  <c r="F1688" i="14"/>
  <c r="F1495" i="14"/>
  <c r="F1623" i="14"/>
  <c r="F1559" i="14"/>
  <c r="B1497" i="14" l="1"/>
  <c r="B1561" i="14"/>
  <c r="B1689" i="14"/>
  <c r="B1625" i="14"/>
  <c r="F1689" i="14"/>
  <c r="F1496" i="14"/>
  <c r="F1560" i="14"/>
  <c r="F1624" i="14"/>
  <c r="B1626" i="14" l="1"/>
  <c r="B1690" i="14"/>
  <c r="B1562" i="14"/>
  <c r="B1498" i="14"/>
  <c r="F1561" i="14"/>
  <c r="F1497" i="14"/>
  <c r="F1690" i="14"/>
  <c r="F1625" i="14"/>
  <c r="B1691" i="14" l="1"/>
  <c r="B1563" i="14"/>
  <c r="B1627" i="14"/>
  <c r="F1626" i="14"/>
  <c r="F1562" i="14"/>
  <c r="F1691" i="14"/>
  <c r="F1498" i="14"/>
  <c r="B1628" i="14" l="1"/>
  <c r="B1564" i="14"/>
  <c r="B1692" i="14"/>
  <c r="F1563" i="14"/>
  <c r="F1627" i="14"/>
  <c r="F1692" i="14"/>
  <c r="B1629" i="14" l="1"/>
  <c r="B1565" i="14"/>
  <c r="B1693" i="14"/>
  <c r="F1564" i="14"/>
  <c r="F1693" i="14"/>
  <c r="F1628" i="14"/>
  <c r="B1630" i="14" l="1"/>
  <c r="B1566" i="14"/>
  <c r="B1694" i="14"/>
  <c r="F1565" i="14"/>
  <c r="F1694" i="14"/>
  <c r="F1629" i="14"/>
  <c r="B1631" i="14" l="1"/>
  <c r="B1567" i="14"/>
  <c r="B1695" i="14"/>
  <c r="F1630" i="14"/>
  <c r="F1695" i="14"/>
  <c r="F1566" i="14"/>
  <c r="B1632" i="14" l="1"/>
  <c r="B1568" i="14"/>
  <c r="B1696" i="14"/>
  <c r="F1567" i="14"/>
  <c r="F1631" i="14"/>
  <c r="F1696" i="14"/>
  <c r="B1633" i="14" l="1"/>
  <c r="B1569" i="14"/>
  <c r="B1697" i="14"/>
  <c r="F1697" i="14"/>
  <c r="F1632" i="14"/>
  <c r="F1568" i="14"/>
  <c r="B1570" i="14" l="1"/>
  <c r="B1634" i="14"/>
  <c r="B1698" i="14"/>
  <c r="F1698" i="14"/>
  <c r="F1569" i="14"/>
  <c r="F1633" i="14"/>
  <c r="B1699" i="14" l="1"/>
  <c r="B1635" i="14"/>
  <c r="B1571" i="14"/>
  <c r="F1699" i="14"/>
  <c r="F1570" i="14"/>
  <c r="F1634" i="14"/>
  <c r="B1572" i="14" l="1"/>
  <c r="B1636" i="14"/>
  <c r="B1700" i="14"/>
  <c r="F1571" i="14"/>
  <c r="F1635" i="14"/>
  <c r="F1700" i="14"/>
  <c r="B1701" i="14" l="1"/>
  <c r="B1573" i="14"/>
  <c r="B1637" i="14"/>
  <c r="F1636" i="14"/>
  <c r="F1701" i="14"/>
  <c r="F1572" i="14"/>
  <c r="B1702" i="14" l="1"/>
  <c r="B1638" i="14"/>
  <c r="B1574" i="14"/>
  <c r="F1702" i="14"/>
  <c r="F1637" i="14"/>
  <c r="F1573" i="14"/>
  <c r="B1575" i="14" l="1"/>
  <c r="B1639" i="14"/>
  <c r="B1703" i="14"/>
  <c r="F1638" i="14"/>
  <c r="F1574" i="14"/>
  <c r="F1703" i="14"/>
  <c r="B1704" i="14" l="1"/>
  <c r="B1640" i="14"/>
  <c r="B1576" i="14"/>
  <c r="F1704" i="14"/>
  <c r="F1575" i="14"/>
  <c r="F1639" i="14"/>
  <c r="B1641" i="14" l="1"/>
  <c r="B1577" i="14"/>
  <c r="B1705" i="14"/>
  <c r="F1705" i="14"/>
  <c r="F1576" i="14"/>
  <c r="F1640" i="14"/>
  <c r="B1578" i="14" l="1"/>
  <c r="B1642" i="14"/>
  <c r="B1706" i="14"/>
  <c r="F1577" i="14"/>
  <c r="F1641" i="14"/>
  <c r="F1706" i="14"/>
  <c r="B1707" i="14" l="1"/>
  <c r="B1643" i="14"/>
  <c r="B1579" i="14"/>
  <c r="F1578" i="14"/>
  <c r="F1642" i="14"/>
  <c r="B1580" i="14" l="1"/>
  <c r="B1644" i="14"/>
  <c r="B1708" i="14"/>
  <c r="B1772" i="14"/>
  <c r="F1579" i="14"/>
  <c r="F1707" i="14"/>
  <c r="F1643" i="14"/>
  <c r="F1772" i="14"/>
  <c r="B1773" i="14" l="1"/>
  <c r="B1709" i="14"/>
  <c r="B1581" i="14"/>
  <c r="B1645" i="14"/>
  <c r="F1708" i="14"/>
  <c r="F1580" i="14"/>
  <c r="F1644" i="14"/>
  <c r="F1773" i="14"/>
  <c r="B1710" i="14" l="1"/>
  <c r="B1646" i="14"/>
  <c r="B1582" i="14"/>
  <c r="B1774" i="14"/>
  <c r="F1581" i="14"/>
  <c r="F1774" i="14"/>
  <c r="F1645" i="14"/>
  <c r="F1709" i="14"/>
  <c r="B1647" i="14" l="1"/>
  <c r="B1583" i="14"/>
  <c r="B1711" i="14"/>
  <c r="B1775" i="14"/>
  <c r="F1646" i="14"/>
  <c r="F1710" i="14"/>
  <c r="F1582" i="14"/>
  <c r="F1775" i="14"/>
  <c r="B1776" i="14" l="1"/>
  <c r="B1648" i="14"/>
  <c r="B1584" i="14"/>
  <c r="B1712" i="14"/>
  <c r="F1776" i="14"/>
  <c r="F1711" i="14"/>
  <c r="F1583" i="14"/>
  <c r="F1647" i="14"/>
  <c r="B1777" i="14" l="1"/>
  <c r="B1649" i="14"/>
  <c r="B1585" i="14"/>
  <c r="B1713" i="14"/>
  <c r="F1777" i="14"/>
  <c r="F1712" i="14"/>
  <c r="F1584" i="14"/>
  <c r="F1648" i="14"/>
  <c r="B1650" i="14" l="1"/>
  <c r="B1586" i="14"/>
  <c r="B1714" i="14"/>
  <c r="B1778" i="14"/>
  <c r="F1778" i="14"/>
  <c r="F1649" i="14"/>
  <c r="F1713" i="14"/>
  <c r="F1585" i="14"/>
  <c r="B1651" i="14" l="1"/>
  <c r="B1587" i="14"/>
  <c r="B1779" i="14"/>
  <c r="B1715" i="14"/>
  <c r="F1586" i="14"/>
  <c r="F1650" i="14"/>
  <c r="F1714" i="14"/>
  <c r="F1779" i="14"/>
  <c r="B1652" i="14" l="1"/>
  <c r="B1588" i="14"/>
  <c r="B1780" i="14"/>
  <c r="B1716" i="14"/>
  <c r="F1587" i="14"/>
  <c r="F1780" i="14"/>
  <c r="F1715" i="14"/>
  <c r="F1651" i="14"/>
  <c r="B1781" i="14" l="1"/>
  <c r="B1589" i="14"/>
  <c r="B1653" i="14"/>
  <c r="B1717" i="14"/>
  <c r="F1716" i="14"/>
  <c r="F1588" i="14"/>
  <c r="F1781" i="14"/>
  <c r="F1652" i="14"/>
  <c r="B1718" i="14" l="1"/>
  <c r="B1654" i="14"/>
  <c r="B1782" i="14"/>
  <c r="F1653" i="14"/>
  <c r="F1782" i="14"/>
  <c r="F1589" i="14"/>
  <c r="F1717" i="14"/>
  <c r="B1719" i="14" l="1"/>
  <c r="B1655" i="14"/>
  <c r="B1783" i="14"/>
  <c r="F1783" i="14"/>
  <c r="F1654" i="14"/>
  <c r="F1718" i="14"/>
  <c r="B1720" i="14" l="1"/>
  <c r="B1656" i="14"/>
  <c r="B1784" i="14"/>
  <c r="F1655" i="14"/>
  <c r="F1719" i="14"/>
  <c r="F1784" i="14"/>
  <c r="B1721" i="14" l="1"/>
  <c r="B1657" i="14"/>
  <c r="B1785" i="14"/>
  <c r="F1656" i="14"/>
  <c r="F1720" i="14"/>
  <c r="F1785" i="14"/>
  <c r="B1722" i="14" l="1"/>
  <c r="B1658" i="14"/>
  <c r="B1786" i="14"/>
  <c r="F1657" i="14"/>
  <c r="F1721" i="14"/>
  <c r="F1786" i="14"/>
  <c r="B1723" i="14" l="1"/>
  <c r="B1659" i="14"/>
  <c r="B1787" i="14"/>
  <c r="F1658" i="14"/>
  <c r="F1722" i="14"/>
  <c r="F1787" i="14"/>
  <c r="B1724" i="14" l="1"/>
  <c r="B1660" i="14"/>
  <c r="B1788" i="14"/>
  <c r="F1659" i="14"/>
  <c r="F1723" i="14"/>
  <c r="F1788" i="14"/>
  <c r="B1725" i="14" l="1"/>
  <c r="B1661" i="14"/>
  <c r="B1789" i="14"/>
  <c r="F1660" i="14"/>
  <c r="F1724" i="14"/>
  <c r="F1789" i="14"/>
  <c r="B1726" i="14" l="1"/>
  <c r="B1662" i="14"/>
  <c r="B1790" i="14"/>
  <c r="F1661" i="14"/>
  <c r="F1790" i="14"/>
  <c r="F1725" i="14"/>
  <c r="B1663" i="14" l="1"/>
  <c r="B1727" i="14"/>
  <c r="B1791" i="14"/>
  <c r="F1791" i="14"/>
  <c r="F1662" i="14"/>
  <c r="F1726" i="14"/>
  <c r="B1792" i="14" l="1"/>
  <c r="B1728" i="14"/>
  <c r="B1664" i="14"/>
  <c r="F1792" i="14"/>
  <c r="F1663" i="14"/>
  <c r="F1727" i="14"/>
  <c r="B1729" i="14" l="1"/>
  <c r="B1665" i="14"/>
  <c r="B1793" i="14"/>
  <c r="F1664" i="14"/>
  <c r="F1728" i="14"/>
  <c r="F1793" i="14"/>
  <c r="B1730" i="14" l="1"/>
  <c r="B1666" i="14"/>
  <c r="B1794" i="14"/>
  <c r="F1794" i="14"/>
  <c r="F1665" i="14"/>
  <c r="F1729" i="14"/>
  <c r="B1667" i="14" l="1"/>
  <c r="B1731" i="14"/>
  <c r="B1795" i="14"/>
  <c r="F1666" i="14"/>
  <c r="F1730" i="14"/>
  <c r="F1795" i="14"/>
  <c r="B1796" i="14" l="1"/>
  <c r="B1732" i="14"/>
  <c r="B1668" i="14"/>
  <c r="F1731" i="14"/>
  <c r="F1796" i="14"/>
  <c r="F1667" i="14"/>
  <c r="B1797" i="14" l="1"/>
  <c r="B1669" i="14"/>
  <c r="B1733" i="14"/>
  <c r="F1732" i="14"/>
  <c r="F1797" i="14"/>
  <c r="F1668" i="14"/>
  <c r="B1798" i="14" l="1"/>
  <c r="B1734" i="14"/>
  <c r="B1670" i="14"/>
  <c r="F1733" i="14"/>
  <c r="F1669" i="14"/>
  <c r="B1799" i="14" l="1"/>
  <c r="B1671" i="14"/>
  <c r="B1735" i="14"/>
  <c r="B1863" i="14"/>
  <c r="F1670" i="14"/>
  <c r="F1734" i="14"/>
  <c r="F1798" i="14"/>
  <c r="F1863" i="14"/>
  <c r="B1800" i="14" l="1"/>
  <c r="B1736" i="14"/>
  <c r="B1672" i="14"/>
  <c r="B1864" i="14"/>
  <c r="F1671" i="14"/>
  <c r="F1735" i="14"/>
  <c r="F1864" i="14"/>
  <c r="F1799" i="14"/>
  <c r="B1737" i="14" l="1"/>
  <c r="B1673" i="14"/>
  <c r="B1801" i="14"/>
  <c r="B1865" i="14"/>
  <c r="F1865" i="14"/>
  <c r="F1800" i="14"/>
  <c r="F1672" i="14"/>
  <c r="F1736" i="14"/>
  <c r="B1738" i="14" l="1"/>
  <c r="B1674" i="14"/>
  <c r="B1866" i="14"/>
  <c r="B1802" i="14"/>
  <c r="F1866" i="14"/>
  <c r="F1737" i="14"/>
  <c r="F1801" i="14"/>
  <c r="F1673" i="14"/>
  <c r="B1867" i="14" l="1"/>
  <c r="B1739" i="14"/>
  <c r="B1675" i="14"/>
  <c r="B1803" i="14"/>
  <c r="F1867" i="14"/>
  <c r="F1738" i="14"/>
  <c r="F1802" i="14"/>
  <c r="F1674" i="14"/>
  <c r="B1804" i="14" l="1"/>
  <c r="B1868" i="14"/>
  <c r="B1740" i="14"/>
  <c r="B1676" i="14"/>
  <c r="F1739" i="14"/>
  <c r="F1868" i="14"/>
  <c r="F1803" i="14"/>
  <c r="F1675" i="14"/>
  <c r="B1677" i="14" l="1"/>
  <c r="B1741" i="14"/>
  <c r="B1805" i="14"/>
  <c r="B1869" i="14"/>
  <c r="F1676" i="14"/>
  <c r="F1740" i="14"/>
  <c r="F1869" i="14"/>
  <c r="F1804" i="14"/>
  <c r="B1870" i="14" l="1"/>
  <c r="B1806" i="14"/>
  <c r="B1742" i="14"/>
  <c r="B1678" i="14"/>
  <c r="F1805" i="14"/>
  <c r="F1677" i="14"/>
  <c r="F1741" i="14"/>
  <c r="F1870" i="14"/>
  <c r="B1679" i="14" l="1"/>
  <c r="B1743" i="14"/>
  <c r="B1807" i="14"/>
  <c r="B1871" i="14"/>
  <c r="F1806" i="14"/>
  <c r="F1871" i="14"/>
  <c r="F1678" i="14"/>
  <c r="F1742" i="14"/>
  <c r="B1808" i="14" l="1"/>
  <c r="B1872" i="14"/>
  <c r="B1744" i="14"/>
  <c r="B1680" i="14"/>
  <c r="F1872" i="14"/>
  <c r="F1679" i="14"/>
  <c r="F1807" i="14"/>
  <c r="F1743" i="14"/>
  <c r="B1745" i="14" l="1"/>
  <c r="B1809" i="14"/>
  <c r="B1873" i="14"/>
  <c r="F1873" i="14"/>
  <c r="F1808" i="14"/>
  <c r="F1680" i="14"/>
  <c r="F1744" i="14"/>
  <c r="B1874" i="14" l="1"/>
  <c r="B1810" i="14"/>
  <c r="B1746" i="14"/>
  <c r="F1874" i="14"/>
  <c r="F1745" i="14"/>
  <c r="F1809" i="14"/>
  <c r="B1811" i="14" l="1"/>
  <c r="B1747" i="14"/>
  <c r="B1875" i="14"/>
  <c r="F1746" i="14"/>
  <c r="F1875" i="14"/>
  <c r="F1810" i="14"/>
  <c r="B1812" i="14" l="1"/>
  <c r="B1748" i="14"/>
  <c r="B1876" i="14"/>
  <c r="F1747" i="14"/>
  <c r="F1811" i="14"/>
  <c r="F1876" i="14"/>
  <c r="B1813" i="14" l="1"/>
  <c r="B1749" i="14"/>
  <c r="B1877" i="14"/>
  <c r="F1748" i="14"/>
  <c r="F1812" i="14"/>
  <c r="F1877" i="14"/>
  <c r="B1750" i="14" l="1"/>
  <c r="B1814" i="14"/>
  <c r="B1878" i="14"/>
  <c r="F1749" i="14"/>
  <c r="F1813" i="14"/>
  <c r="F1878" i="14"/>
  <c r="B1879" i="14" l="1"/>
  <c r="B1815" i="14"/>
  <c r="B1751" i="14"/>
  <c r="F1879" i="14"/>
  <c r="F1814" i="14"/>
  <c r="F1750" i="14"/>
  <c r="B1816" i="14" l="1"/>
  <c r="B1752" i="14"/>
  <c r="B1880" i="14"/>
  <c r="F1880" i="14"/>
  <c r="F1751" i="14"/>
  <c r="F1815" i="14"/>
  <c r="B1817" i="14" l="1"/>
  <c r="B1753" i="14"/>
  <c r="B1881" i="14"/>
  <c r="F1881" i="14"/>
  <c r="F1816" i="14"/>
  <c r="F1752" i="14"/>
  <c r="B1818" i="14" l="1"/>
  <c r="B1754" i="14"/>
  <c r="B1882" i="14"/>
  <c r="F1753" i="14"/>
  <c r="F1817" i="14"/>
  <c r="F1882" i="14"/>
  <c r="B1819" i="14" l="1"/>
  <c r="B1755" i="14"/>
  <c r="B1883" i="14"/>
  <c r="F1754" i="14"/>
  <c r="F1818" i="14"/>
  <c r="F1883" i="14"/>
  <c r="B1756" i="14" l="1"/>
  <c r="B1820" i="14"/>
  <c r="B1884" i="14"/>
  <c r="F1755" i="14"/>
  <c r="F1819" i="14"/>
  <c r="F1884" i="14"/>
  <c r="B1885" i="14" l="1"/>
  <c r="B1821" i="14"/>
  <c r="B1757" i="14"/>
  <c r="F1820" i="14"/>
  <c r="F1756" i="14"/>
  <c r="F1885" i="14"/>
  <c r="B1822" i="14" l="1"/>
  <c r="B1758" i="14"/>
  <c r="B1886" i="14"/>
  <c r="F1757" i="14"/>
  <c r="F1886" i="14"/>
  <c r="F1821" i="14"/>
  <c r="B1823" i="14" l="1"/>
  <c r="B1759" i="14"/>
  <c r="B1887" i="14"/>
  <c r="F1758" i="14"/>
  <c r="F1887" i="14"/>
  <c r="F1822" i="14"/>
  <c r="B1824" i="14" l="1"/>
  <c r="B1760" i="14"/>
  <c r="B1888" i="14"/>
  <c r="F1888" i="14"/>
  <c r="F1823" i="14"/>
  <c r="F1759" i="14"/>
  <c r="B1825" i="14" l="1"/>
  <c r="B1761" i="14"/>
  <c r="B1889" i="14"/>
  <c r="F1760" i="14"/>
  <c r="F1824" i="14"/>
  <c r="B1954" i="14" l="1"/>
  <c r="B1826" i="14"/>
  <c r="B1762" i="14"/>
  <c r="B1890" i="14"/>
  <c r="F1954" i="14"/>
  <c r="F1761" i="14"/>
  <c r="F1889" i="14"/>
  <c r="F1825" i="14"/>
  <c r="B1955" i="14" l="1"/>
  <c r="B1827" i="14"/>
  <c r="B1763" i="14"/>
  <c r="B1891" i="14"/>
  <c r="F1890" i="14"/>
  <c r="F1762" i="14"/>
  <c r="F1955" i="14"/>
  <c r="F1826" i="14"/>
  <c r="B1892" i="14" l="1"/>
  <c r="B1956" i="14"/>
  <c r="B1828" i="14"/>
  <c r="B1764" i="14"/>
  <c r="F1827" i="14"/>
  <c r="F1763" i="14"/>
  <c r="F1891" i="14"/>
  <c r="F1956" i="14"/>
  <c r="B1829" i="14" l="1"/>
  <c r="B1765" i="14"/>
  <c r="B1893" i="14"/>
  <c r="B1957" i="14"/>
  <c r="F1764" i="14"/>
  <c r="F1828" i="14"/>
  <c r="F1892" i="14"/>
  <c r="F1957" i="14"/>
  <c r="B1830" i="14" l="1"/>
  <c r="B1766" i="14"/>
  <c r="B1894" i="14"/>
  <c r="B1958" i="14"/>
  <c r="F1765" i="14"/>
  <c r="F1893" i="14"/>
  <c r="F1958" i="14"/>
  <c r="F1829" i="14"/>
  <c r="B1959" i="14" l="1"/>
  <c r="B1831" i="14"/>
  <c r="B1767" i="14"/>
  <c r="B1895" i="14"/>
  <c r="F1959" i="14"/>
  <c r="F1830" i="14"/>
  <c r="F1766" i="14"/>
  <c r="F1894" i="14"/>
  <c r="B1832" i="14" l="1"/>
  <c r="B1768" i="14"/>
  <c r="B1960" i="14"/>
  <c r="B1896" i="14"/>
  <c r="F1960" i="14"/>
  <c r="F1831" i="14"/>
  <c r="F1895" i="14"/>
  <c r="F1767" i="14"/>
  <c r="B1961" i="14" l="1"/>
  <c r="B1833" i="14"/>
  <c r="B1769" i="14"/>
  <c r="B1897" i="14"/>
  <c r="F1961" i="14"/>
  <c r="F1896" i="14"/>
  <c r="F1768" i="14"/>
  <c r="F1832" i="14"/>
  <c r="B1834" i="14" l="1"/>
  <c r="B1770" i="14"/>
  <c r="B1898" i="14"/>
  <c r="B1962" i="14"/>
  <c r="F1769" i="14"/>
  <c r="F1833" i="14"/>
  <c r="F1962" i="14"/>
  <c r="F1897" i="14"/>
  <c r="B1963" i="14" l="1"/>
  <c r="B1835" i="14"/>
  <c r="B1771" i="14"/>
  <c r="B1899" i="14"/>
  <c r="F1963" i="14"/>
  <c r="F1898" i="14"/>
  <c r="F1770" i="14"/>
  <c r="F1834" i="14"/>
  <c r="B1964" i="14" l="1"/>
  <c r="B1836" i="14"/>
  <c r="B1900" i="14"/>
  <c r="F1899" i="14"/>
  <c r="F1964" i="14"/>
  <c r="F1771" i="14"/>
  <c r="F1835" i="14"/>
  <c r="B1965" i="14" l="1"/>
  <c r="B1901" i="14"/>
  <c r="B1837" i="14"/>
  <c r="F1900" i="14"/>
  <c r="F1836" i="14"/>
  <c r="F1965" i="14"/>
  <c r="B1966" i="14" l="1"/>
  <c r="B1902" i="14"/>
  <c r="B1838" i="14"/>
  <c r="F1901" i="14"/>
  <c r="F1966" i="14"/>
  <c r="F1837" i="14"/>
  <c r="B1839" i="14" l="1"/>
  <c r="B1903" i="14"/>
  <c r="B1967" i="14"/>
  <c r="F1967" i="14"/>
  <c r="F1838" i="14"/>
  <c r="F1902" i="14"/>
  <c r="B1968" i="14" l="1"/>
  <c r="B1904" i="14"/>
  <c r="B1840" i="14"/>
  <c r="F1968" i="14"/>
  <c r="F1903" i="14"/>
  <c r="F1839" i="14"/>
  <c r="B1905" i="14" l="1"/>
  <c r="B1841" i="14"/>
  <c r="B1969" i="14"/>
  <c r="F1840" i="14"/>
  <c r="F1904" i="14"/>
  <c r="F1969" i="14"/>
  <c r="B1906" i="14" l="1"/>
  <c r="B1842" i="14"/>
  <c r="B1970" i="14"/>
  <c r="F1970" i="14"/>
  <c r="F1905" i="14"/>
  <c r="F1841" i="14"/>
  <c r="B1907" i="14" l="1"/>
  <c r="B1843" i="14"/>
  <c r="B1971" i="14"/>
  <c r="F1842" i="14"/>
  <c r="F1906" i="14"/>
  <c r="F1971" i="14"/>
  <c r="B1844" i="14" l="1"/>
  <c r="B1908" i="14"/>
  <c r="B1972" i="14"/>
  <c r="F1843" i="14"/>
  <c r="F1907" i="14"/>
  <c r="F1972" i="14"/>
  <c r="B1973" i="14" l="1"/>
  <c r="B1909" i="14"/>
  <c r="B1845" i="14"/>
  <c r="F1908" i="14"/>
  <c r="F1844" i="14"/>
  <c r="F1973" i="14"/>
  <c r="B1910" i="14" l="1"/>
  <c r="B1846" i="14"/>
  <c r="B1974" i="14"/>
  <c r="F1845" i="14"/>
  <c r="F1909" i="14"/>
  <c r="F1974" i="14"/>
  <c r="B1911" i="14" l="1"/>
  <c r="B1847" i="14"/>
  <c r="B1975" i="14"/>
  <c r="F1846" i="14"/>
  <c r="F1975" i="14"/>
  <c r="F1910" i="14"/>
  <c r="B1912" i="14" l="1"/>
  <c r="B1848" i="14"/>
  <c r="B1976" i="14"/>
  <c r="F1847" i="14"/>
  <c r="F1976" i="14"/>
  <c r="F1911" i="14"/>
  <c r="B1913" i="14" l="1"/>
  <c r="B1849" i="14"/>
  <c r="B1977" i="14"/>
  <c r="F1977" i="14"/>
  <c r="F1912" i="14"/>
  <c r="F1848" i="14"/>
  <c r="B1914" i="14" l="1"/>
  <c r="B1850" i="14"/>
  <c r="B1978" i="14"/>
  <c r="F1849" i="14"/>
  <c r="F1978" i="14"/>
  <c r="F1913" i="14"/>
  <c r="B1915" i="14" l="1"/>
  <c r="B1851" i="14"/>
  <c r="B1979" i="14"/>
  <c r="F1850" i="14"/>
  <c r="F1979" i="14"/>
  <c r="F1914" i="14"/>
  <c r="B1916" i="14" l="1"/>
  <c r="B1852" i="14"/>
  <c r="B1980" i="14"/>
  <c r="F1851" i="14"/>
  <c r="F1915" i="14"/>
  <c r="B2045" i="14" l="1"/>
  <c r="B1853" i="14"/>
  <c r="B1917" i="14"/>
  <c r="B1981" i="14"/>
  <c r="F1980" i="14"/>
  <c r="F1916" i="14"/>
  <c r="F1852" i="14"/>
  <c r="F2045" i="14"/>
  <c r="B1982" i="14" l="1"/>
  <c r="B2046" i="14"/>
  <c r="B1918" i="14"/>
  <c r="B1854" i="14"/>
  <c r="F1917" i="14"/>
  <c r="F1853" i="14"/>
  <c r="F2046" i="14"/>
  <c r="F1981" i="14"/>
  <c r="B1919" i="14" l="1"/>
  <c r="B1855" i="14"/>
  <c r="B1983" i="14"/>
  <c r="B2047" i="14"/>
  <c r="F1854" i="14"/>
  <c r="F2047" i="14"/>
  <c r="F1918" i="14"/>
  <c r="F1982" i="14"/>
  <c r="B2048" i="14" l="1"/>
  <c r="B1920" i="14"/>
  <c r="B1856" i="14"/>
  <c r="B1984" i="14"/>
  <c r="F2048" i="14"/>
  <c r="F1983" i="14"/>
  <c r="F1919" i="14"/>
  <c r="F1855" i="14"/>
  <c r="B2049" i="14" l="1"/>
  <c r="B1921" i="14"/>
  <c r="B1857" i="14"/>
  <c r="B1985" i="14"/>
  <c r="F2049" i="14"/>
  <c r="F1984" i="14"/>
  <c r="F1920" i="14"/>
  <c r="F1856" i="14"/>
  <c r="B1922" i="14" l="1"/>
  <c r="B1858" i="14"/>
  <c r="B1986" i="14"/>
  <c r="B2050" i="14"/>
  <c r="F2050" i="14"/>
  <c r="F1857" i="14"/>
  <c r="F1921" i="14"/>
  <c r="F1985" i="14"/>
  <c r="B1923" i="14" l="1"/>
  <c r="B1859" i="14"/>
  <c r="B2051" i="14"/>
  <c r="B1987" i="14"/>
  <c r="F1858" i="14"/>
  <c r="F1922" i="14"/>
  <c r="F2051" i="14"/>
  <c r="F1986" i="14"/>
  <c r="B1924" i="14" l="1"/>
  <c r="B1860" i="14"/>
  <c r="B1988" i="14"/>
  <c r="B2052" i="14"/>
  <c r="F1859" i="14"/>
  <c r="F1987" i="14"/>
  <c r="F2052" i="14"/>
  <c r="F1923" i="14"/>
  <c r="B2053" i="14" l="1"/>
  <c r="B1861" i="14"/>
  <c r="B1925" i="14"/>
  <c r="B1989" i="14"/>
  <c r="F1988" i="14"/>
  <c r="F1924" i="14"/>
  <c r="F1860" i="14"/>
  <c r="F2053" i="14"/>
  <c r="B2054" i="14" l="1"/>
  <c r="B1990" i="14"/>
  <c r="B1862" i="14"/>
  <c r="B1926" i="14"/>
  <c r="F1989" i="14"/>
  <c r="F2054" i="14"/>
  <c r="F1925" i="14"/>
  <c r="F1861" i="14"/>
  <c r="B1991" i="14" l="1"/>
  <c r="B1927" i="14"/>
  <c r="B2055" i="14"/>
  <c r="F1862" i="14"/>
  <c r="F1926" i="14"/>
  <c r="F1990" i="14"/>
  <c r="F2055" i="14"/>
  <c r="B1992" i="14" l="1"/>
  <c r="B1928" i="14"/>
  <c r="B2056" i="14"/>
  <c r="F1927" i="14"/>
  <c r="F1991" i="14"/>
  <c r="F2056" i="14"/>
  <c r="B1993" i="14" l="1"/>
  <c r="B1929" i="14"/>
  <c r="B2057" i="14"/>
  <c r="F1928" i="14"/>
  <c r="F1992" i="14"/>
  <c r="F2057" i="14"/>
  <c r="B1994" i="14" l="1"/>
  <c r="B1930" i="14"/>
  <c r="B2058" i="14"/>
  <c r="F1929" i="14"/>
  <c r="F1993" i="14"/>
  <c r="F2058" i="14"/>
  <c r="B1931" i="14" l="1"/>
  <c r="B1995" i="14"/>
  <c r="B2059" i="14"/>
  <c r="F1930" i="14"/>
  <c r="F1994" i="14"/>
  <c r="F2059" i="14"/>
  <c r="B2060" i="14" l="1"/>
  <c r="B1996" i="14"/>
  <c r="B1932" i="14"/>
  <c r="F1995" i="14"/>
  <c r="F1931" i="14"/>
  <c r="F2060" i="14"/>
  <c r="B1997" i="14" l="1"/>
  <c r="B1933" i="14"/>
  <c r="B2061" i="14"/>
  <c r="F1932" i="14"/>
  <c r="F1996" i="14"/>
  <c r="F2061" i="14"/>
  <c r="B1998" i="14" l="1"/>
  <c r="B1934" i="14"/>
  <c r="B2062" i="14"/>
  <c r="F1933" i="14"/>
  <c r="F2062" i="14"/>
  <c r="F1997" i="14"/>
  <c r="B1999" i="14" l="1"/>
  <c r="B1935" i="14"/>
  <c r="B2063" i="14"/>
  <c r="F2063" i="14"/>
  <c r="F1998" i="14"/>
  <c r="F1934" i="14"/>
  <c r="B2000" i="14" l="1"/>
  <c r="B1936" i="14"/>
  <c r="B2064" i="14"/>
  <c r="F1935" i="14"/>
  <c r="F1999" i="14"/>
  <c r="F2064" i="14"/>
  <c r="B2001" i="14" l="1"/>
  <c r="B1937" i="14"/>
  <c r="B2065" i="14"/>
  <c r="F2065" i="14"/>
  <c r="F2000" i="14"/>
  <c r="F1936" i="14"/>
  <c r="B2002" i="14" l="1"/>
  <c r="B1938" i="14"/>
  <c r="B2066" i="14"/>
  <c r="F1937" i="14"/>
  <c r="F2066" i="14"/>
  <c r="F2001" i="14"/>
  <c r="B2003" i="14" l="1"/>
  <c r="B1939" i="14"/>
  <c r="B2067" i="14"/>
  <c r="F1938" i="14"/>
  <c r="F2067" i="14"/>
  <c r="F2002" i="14"/>
  <c r="B2004" i="14" l="1"/>
  <c r="B1940" i="14"/>
  <c r="B2068" i="14"/>
  <c r="F1939" i="14"/>
  <c r="F2068" i="14"/>
  <c r="F2003" i="14"/>
  <c r="B2005" i="14" l="1"/>
  <c r="B1941" i="14"/>
  <c r="B2069" i="14"/>
  <c r="F1940" i="14"/>
  <c r="F2004" i="14"/>
  <c r="F2069" i="14"/>
  <c r="B2006" i="14" l="1"/>
  <c r="B1942" i="14"/>
  <c r="B2070" i="14"/>
  <c r="F1941" i="14"/>
  <c r="F2005" i="14"/>
  <c r="F2070" i="14"/>
  <c r="B2007" i="14" l="1"/>
  <c r="B1943" i="14"/>
  <c r="B2071" i="14"/>
  <c r="F2006" i="14"/>
  <c r="F1942" i="14"/>
  <c r="B2008" i="14" l="1"/>
  <c r="B1944" i="14"/>
  <c r="B2136" i="14"/>
  <c r="B2072" i="14"/>
  <c r="F1943" i="14"/>
  <c r="F2136" i="14"/>
  <c r="F2071" i="14"/>
  <c r="F2007" i="14"/>
  <c r="B2009" i="14" l="1"/>
  <c r="B1945" i="14"/>
  <c r="B2137" i="14"/>
  <c r="B2073" i="14"/>
  <c r="F1944" i="14"/>
  <c r="F2137" i="14"/>
  <c r="F2072" i="14"/>
  <c r="F2008" i="14"/>
  <c r="B2010" i="14" l="1"/>
  <c r="B1946" i="14"/>
  <c r="B2138" i="14"/>
  <c r="B2074" i="14"/>
  <c r="F1945" i="14"/>
  <c r="F2009" i="14"/>
  <c r="F2138" i="14"/>
  <c r="F2073" i="14"/>
  <c r="B2011" i="14" l="1"/>
  <c r="B1947" i="14"/>
  <c r="B2139" i="14"/>
  <c r="B2075" i="14"/>
  <c r="F1946" i="14"/>
  <c r="F2139" i="14"/>
  <c r="F2010" i="14"/>
  <c r="F2074" i="14"/>
  <c r="B2012" i="14" l="1"/>
  <c r="B1948" i="14"/>
  <c r="B2076" i="14"/>
  <c r="B2140" i="14"/>
  <c r="F1947" i="14"/>
  <c r="F2011" i="14"/>
  <c r="F2075" i="14"/>
  <c r="F2140" i="14"/>
  <c r="B2013" i="14" l="1"/>
  <c r="B1949" i="14"/>
  <c r="B2077" i="14"/>
  <c r="B2141" i="14"/>
  <c r="F1948" i="14"/>
  <c r="F2012" i="14"/>
  <c r="F2076" i="14"/>
  <c r="F2141" i="14"/>
  <c r="B2014" i="14" l="1"/>
  <c r="B1950" i="14"/>
  <c r="B2078" i="14"/>
  <c r="B2142" i="14"/>
  <c r="F1949" i="14"/>
  <c r="F2142" i="14"/>
  <c r="F2077" i="14"/>
  <c r="F2013" i="14"/>
  <c r="B2143" i="14" l="1"/>
  <c r="B2015" i="14"/>
  <c r="B1951" i="14"/>
  <c r="B2079" i="14"/>
  <c r="F2143" i="14"/>
  <c r="F1950" i="14"/>
  <c r="F2014" i="14"/>
  <c r="F2078" i="14"/>
  <c r="B2144" i="14" l="1"/>
  <c r="B2016" i="14"/>
  <c r="B1952" i="14"/>
  <c r="B2080" i="14"/>
  <c r="F1951" i="14"/>
  <c r="F2079" i="14"/>
  <c r="F2015" i="14"/>
  <c r="F2144" i="14"/>
  <c r="B2145" i="14" l="1"/>
  <c r="B2017" i="14"/>
  <c r="B1953" i="14"/>
  <c r="B2081" i="14"/>
  <c r="F2145" i="14"/>
  <c r="F2016" i="14"/>
  <c r="F2080" i="14"/>
  <c r="F1952" i="14"/>
  <c r="B2146" i="14" l="1"/>
  <c r="B2018" i="14"/>
  <c r="B2082" i="14"/>
  <c r="F2146" i="14"/>
  <c r="F1953" i="14"/>
  <c r="F2017" i="14"/>
  <c r="F2081" i="14"/>
  <c r="B2083" i="14" l="1"/>
  <c r="B2019" i="14"/>
  <c r="B2147" i="14"/>
  <c r="F2018" i="14"/>
  <c r="F2082" i="14"/>
  <c r="F2147" i="14"/>
  <c r="B2084" i="14" l="1"/>
  <c r="B2020" i="14"/>
  <c r="B2148" i="14"/>
  <c r="F2019" i="14"/>
  <c r="F2083" i="14"/>
  <c r="F2148" i="14"/>
  <c r="B2021" i="14" l="1"/>
  <c r="B2085" i="14"/>
  <c r="B2149" i="14"/>
  <c r="F2020" i="14"/>
  <c r="F2084" i="14"/>
  <c r="F2149" i="14"/>
  <c r="B2150" i="14" l="1"/>
  <c r="B2086" i="14"/>
  <c r="B2022" i="14"/>
  <c r="F2085" i="14"/>
  <c r="F2150" i="14"/>
  <c r="F2021" i="14"/>
  <c r="B2087" i="14" l="1"/>
  <c r="B2023" i="14"/>
  <c r="B2151" i="14"/>
  <c r="F2022" i="14"/>
  <c r="F2151" i="14"/>
  <c r="F2086" i="14"/>
  <c r="B2088" i="14" l="1"/>
  <c r="B2024" i="14"/>
  <c r="B2152" i="14"/>
  <c r="F2087" i="14"/>
  <c r="F2023" i="14"/>
  <c r="F2152" i="14"/>
  <c r="B2089" i="14" l="1"/>
  <c r="B2025" i="14"/>
  <c r="B2153" i="14"/>
  <c r="F2024" i="14"/>
  <c r="F2088" i="14"/>
  <c r="F2153" i="14"/>
  <c r="B2090" i="14" l="1"/>
  <c r="B2026" i="14"/>
  <c r="B2154" i="14"/>
  <c r="F2154" i="14"/>
  <c r="F2089" i="14"/>
  <c r="F2025" i="14"/>
  <c r="B2091" i="14" l="1"/>
  <c r="B2027" i="14"/>
  <c r="B2155" i="14"/>
  <c r="F2026" i="14"/>
  <c r="F2090" i="14"/>
  <c r="F2155" i="14"/>
  <c r="B2028" i="14" l="1"/>
  <c r="B2092" i="14"/>
  <c r="B2156" i="14"/>
  <c r="F2027" i="14"/>
  <c r="F2091" i="14"/>
  <c r="F2156" i="14"/>
  <c r="B2157" i="14" l="1"/>
  <c r="B2093" i="14"/>
  <c r="B2029" i="14"/>
  <c r="F2092" i="14"/>
  <c r="F2028" i="14"/>
  <c r="F2157" i="14"/>
  <c r="B2158" i="14" l="1"/>
  <c r="B2094" i="14"/>
  <c r="B2030" i="14"/>
  <c r="F2158" i="14"/>
  <c r="F2029" i="14"/>
  <c r="F2093" i="14"/>
  <c r="B2159" i="14" l="1"/>
  <c r="B2095" i="14"/>
  <c r="B2031" i="14"/>
  <c r="F2159" i="14"/>
  <c r="F2030" i="14"/>
  <c r="F2094" i="14"/>
  <c r="B2032" i="14" l="1"/>
  <c r="B2096" i="14"/>
  <c r="B2160" i="14"/>
  <c r="F2031" i="14"/>
  <c r="F2160" i="14"/>
  <c r="F2095" i="14"/>
  <c r="B2161" i="14" l="1"/>
  <c r="B2097" i="14"/>
  <c r="B2033" i="14"/>
  <c r="F2161" i="14"/>
  <c r="F2096" i="14"/>
  <c r="F2032" i="14"/>
  <c r="B2098" i="14" l="1"/>
  <c r="B2034" i="14"/>
  <c r="B2162" i="14"/>
  <c r="F2033" i="14"/>
  <c r="F2097" i="14"/>
  <c r="B2227" i="14" l="1"/>
  <c r="B2099" i="14"/>
  <c r="B2035" i="14"/>
  <c r="B2163" i="14"/>
  <c r="F2162" i="14"/>
  <c r="F2098" i="14"/>
  <c r="F2034" i="14"/>
  <c r="F2227" i="14"/>
  <c r="B2228" i="14" l="1"/>
  <c r="B2036" i="14"/>
  <c r="B2100" i="14"/>
  <c r="B2164" i="14"/>
  <c r="F2228" i="14"/>
  <c r="F2163" i="14"/>
  <c r="F2035" i="14"/>
  <c r="F2099" i="14"/>
  <c r="B2229" i="14" l="1"/>
  <c r="B2165" i="14"/>
  <c r="B2101" i="14"/>
  <c r="B2037" i="14"/>
  <c r="F2164" i="14"/>
  <c r="F2100" i="14"/>
  <c r="F2036" i="14"/>
  <c r="F2229" i="14"/>
  <c r="B2102" i="14" l="1"/>
  <c r="B2038" i="14"/>
  <c r="B2230" i="14"/>
  <c r="B2166" i="14"/>
  <c r="F2037" i="14"/>
  <c r="F2101" i="14"/>
  <c r="F2165" i="14"/>
  <c r="F2230" i="14"/>
  <c r="B2103" i="14" l="1"/>
  <c r="B2039" i="14"/>
  <c r="B2167" i="14"/>
  <c r="B2231" i="14"/>
  <c r="F2038" i="14"/>
  <c r="F2102" i="14"/>
  <c r="F2231" i="14"/>
  <c r="F2166" i="14"/>
  <c r="B2232" i="14" l="1"/>
  <c r="B2104" i="14"/>
  <c r="B2040" i="14"/>
  <c r="B2168" i="14"/>
  <c r="F2232" i="14"/>
  <c r="F2167" i="14"/>
  <c r="F2103" i="14"/>
  <c r="F2039" i="14"/>
  <c r="B2233" i="14" l="1"/>
  <c r="B2105" i="14"/>
  <c r="B2041" i="14"/>
  <c r="B2169" i="14"/>
  <c r="F2233" i="14"/>
  <c r="F2168" i="14"/>
  <c r="F2040" i="14"/>
  <c r="F2104" i="14"/>
  <c r="B2042" i="14" l="1"/>
  <c r="B2106" i="14"/>
  <c r="B2170" i="14"/>
  <c r="B2234" i="14"/>
  <c r="F2041" i="14"/>
  <c r="F2169" i="14"/>
  <c r="F2234" i="14"/>
  <c r="F2105" i="14"/>
  <c r="B2235" i="14" l="1"/>
  <c r="B2171" i="14"/>
  <c r="B2107" i="14"/>
  <c r="B2043" i="14"/>
  <c r="F2170" i="14"/>
  <c r="F2042" i="14"/>
  <c r="F2106" i="14"/>
  <c r="F2235" i="14"/>
  <c r="B2108" i="14" l="1"/>
  <c r="B2044" i="14"/>
  <c r="B2172" i="14"/>
  <c r="B2236" i="14"/>
  <c r="F2043" i="14"/>
  <c r="F2171" i="14"/>
  <c r="F2236" i="14"/>
  <c r="F2107" i="14"/>
  <c r="B2109" i="14" l="1"/>
  <c r="B2237" i="14"/>
  <c r="B2173" i="14"/>
  <c r="F2044" i="14"/>
  <c r="F2237" i="14"/>
  <c r="F2172" i="14"/>
  <c r="F2108" i="14"/>
  <c r="B2238" i="14" l="1"/>
  <c r="B2174" i="14"/>
  <c r="B2110" i="14"/>
  <c r="F2238" i="14"/>
  <c r="F2173" i="14"/>
  <c r="F2109" i="14"/>
  <c r="B2175" i="14" l="1"/>
  <c r="B2111" i="14"/>
  <c r="B2239" i="14"/>
  <c r="F2239" i="14"/>
  <c r="F2110" i="14"/>
  <c r="F2174" i="14"/>
  <c r="B2176" i="14" l="1"/>
  <c r="B2112" i="14"/>
  <c r="B2240" i="14"/>
  <c r="F2111" i="14"/>
  <c r="F2240" i="14"/>
  <c r="F2175" i="14"/>
  <c r="B2177" i="14" l="1"/>
  <c r="B2113" i="14"/>
  <c r="B2241" i="14"/>
  <c r="F2241" i="14"/>
  <c r="F2112" i="14"/>
  <c r="F2176" i="14"/>
  <c r="B2178" i="14" l="1"/>
  <c r="B2114" i="14"/>
  <c r="B2242" i="14"/>
  <c r="F2113" i="14"/>
  <c r="F2242" i="14"/>
  <c r="F2177" i="14"/>
  <c r="B2115" i="14" l="1"/>
  <c r="B2179" i="14"/>
  <c r="B2243" i="14"/>
  <c r="F2114" i="14"/>
  <c r="F2178" i="14"/>
  <c r="F2243" i="14"/>
  <c r="B2244" i="14" l="1"/>
  <c r="B2180" i="14"/>
  <c r="B2116" i="14"/>
  <c r="F2244" i="14"/>
  <c r="F2179" i="14"/>
  <c r="F2115" i="14"/>
  <c r="B2245" i="14" l="1"/>
  <c r="B2181" i="14"/>
  <c r="B2117" i="14"/>
  <c r="F2180" i="14"/>
  <c r="F2245" i="14"/>
  <c r="F2116" i="14"/>
  <c r="B2118" i="14" l="1"/>
  <c r="B2182" i="14"/>
  <c r="B2246" i="14"/>
  <c r="F2246" i="14"/>
  <c r="F2117" i="14"/>
  <c r="F2181" i="14"/>
  <c r="B2247" i="14" l="1"/>
  <c r="B2183" i="14"/>
  <c r="B2119" i="14"/>
  <c r="F2247" i="14"/>
  <c r="F2182" i="14"/>
  <c r="F2118" i="14"/>
  <c r="B2184" i="14" l="1"/>
  <c r="B2120" i="14"/>
  <c r="B2248" i="14"/>
  <c r="F2119" i="14"/>
  <c r="F2248" i="14"/>
  <c r="F2183" i="14"/>
  <c r="B2185" i="14" l="1"/>
  <c r="B2121" i="14"/>
  <c r="B2249" i="14"/>
  <c r="F2120" i="14"/>
  <c r="F2184" i="14"/>
  <c r="F2249" i="14"/>
  <c r="B2186" i="14" l="1"/>
  <c r="B2122" i="14"/>
  <c r="B2250" i="14"/>
  <c r="F2185" i="14"/>
  <c r="F2250" i="14"/>
  <c r="F2121" i="14"/>
  <c r="B2123" i="14" l="1"/>
  <c r="B2187" i="14"/>
  <c r="B2251" i="14"/>
  <c r="F2122" i="14"/>
  <c r="F2251" i="14"/>
  <c r="F2186" i="14"/>
  <c r="B2252" i="14" l="1"/>
  <c r="B2188" i="14"/>
  <c r="B2124" i="14"/>
  <c r="F2187" i="14"/>
  <c r="F2123" i="14"/>
  <c r="F2252" i="14"/>
  <c r="B2189" i="14" l="1"/>
  <c r="B2125" i="14"/>
  <c r="B2253" i="14"/>
  <c r="F2124" i="14"/>
  <c r="F2188" i="14"/>
  <c r="B2318" i="14" l="1"/>
  <c r="B2190" i="14"/>
  <c r="B2126" i="14"/>
  <c r="B2254" i="14"/>
  <c r="F2318" i="14"/>
  <c r="F2189" i="14"/>
  <c r="F2253" i="14"/>
  <c r="F2125" i="14"/>
  <c r="B2191" i="14" l="1"/>
  <c r="B2127" i="14"/>
  <c r="B2255" i="14"/>
  <c r="B2319" i="14"/>
  <c r="F2319" i="14"/>
  <c r="F2254" i="14"/>
  <c r="F2190" i="14"/>
  <c r="F2126" i="14"/>
  <c r="B2192" i="14" l="1"/>
  <c r="B2128" i="14"/>
  <c r="B2320" i="14"/>
  <c r="B2256" i="14"/>
  <c r="F2320" i="14"/>
  <c r="F2191" i="14"/>
  <c r="F2255" i="14"/>
  <c r="F2127" i="14"/>
  <c r="B2193" i="14" l="1"/>
  <c r="B2129" i="14"/>
  <c r="B2321" i="14"/>
  <c r="B2257" i="14"/>
  <c r="F2128" i="14"/>
  <c r="F2321" i="14"/>
  <c r="F2256" i="14"/>
  <c r="F2192" i="14"/>
  <c r="B2194" i="14" l="1"/>
  <c r="B2130" i="14"/>
  <c r="B2322" i="14"/>
  <c r="B2258" i="14"/>
  <c r="F2129" i="14"/>
  <c r="F2193" i="14"/>
  <c r="F2322" i="14"/>
  <c r="F2257" i="14"/>
  <c r="B2323" i="14" l="1"/>
  <c r="B2131" i="14"/>
  <c r="B2195" i="14"/>
  <c r="B2259" i="14"/>
  <c r="F2258" i="14"/>
  <c r="F2323" i="14"/>
  <c r="F2130" i="14"/>
  <c r="F2194" i="14"/>
  <c r="B2324" i="14" l="1"/>
  <c r="B2260" i="14"/>
  <c r="B2196" i="14"/>
  <c r="B2132" i="14"/>
  <c r="F2259" i="14"/>
  <c r="F2324" i="14"/>
  <c r="F2195" i="14"/>
  <c r="F2131" i="14"/>
  <c r="B2133" i="14" l="1"/>
  <c r="B2197" i="14"/>
  <c r="B2261" i="14"/>
  <c r="B2325" i="14"/>
  <c r="F2132" i="14"/>
  <c r="F2196" i="14"/>
  <c r="F2260" i="14"/>
  <c r="F2325" i="14"/>
  <c r="B2262" i="14" l="1"/>
  <c r="B2198" i="14"/>
  <c r="B2134" i="14"/>
  <c r="B2326" i="14"/>
  <c r="F2326" i="14"/>
  <c r="F2261" i="14"/>
  <c r="F2197" i="14"/>
  <c r="F2133" i="14"/>
  <c r="B2199" i="14" l="1"/>
  <c r="B2135" i="14"/>
  <c r="B2263" i="14"/>
  <c r="B2327" i="14"/>
  <c r="F2198" i="14"/>
  <c r="F2327" i="14"/>
  <c r="F2262" i="14"/>
  <c r="F2134" i="14"/>
  <c r="B2264" i="14" l="1"/>
  <c r="B2328" i="14"/>
  <c r="B2200" i="14"/>
  <c r="F2328" i="14"/>
  <c r="F2199" i="14"/>
  <c r="F2263" i="14"/>
  <c r="F2135" i="14"/>
  <c r="B2265" i="14" l="1"/>
  <c r="B2201" i="14"/>
  <c r="B2329" i="14"/>
  <c r="F2329" i="14"/>
  <c r="F2200" i="14"/>
  <c r="F2264" i="14"/>
  <c r="B2266" i="14" l="1"/>
  <c r="B2202" i="14"/>
  <c r="B2330" i="14"/>
  <c r="F2201" i="14"/>
  <c r="F2330" i="14"/>
  <c r="F2265" i="14"/>
  <c r="B2267" i="14" l="1"/>
  <c r="B2203" i="14"/>
  <c r="B2331" i="14"/>
  <c r="F2202" i="14"/>
  <c r="F2266" i="14"/>
  <c r="F2331" i="14"/>
  <c r="B2268" i="14" l="1"/>
  <c r="B2204" i="14"/>
  <c r="B2332" i="14"/>
  <c r="F2203" i="14"/>
  <c r="F2332" i="14"/>
  <c r="F2267" i="14"/>
  <c r="B2269" i="14" l="1"/>
  <c r="B2205" i="14"/>
  <c r="B2333" i="14"/>
  <c r="F2204" i="14"/>
  <c r="F2268" i="14"/>
  <c r="F2333" i="14"/>
  <c r="B2270" i="14" l="1"/>
  <c r="B2206" i="14"/>
  <c r="B2334" i="14"/>
  <c r="F2205" i="14"/>
  <c r="F2269" i="14"/>
  <c r="F2334" i="14"/>
  <c r="B2271" i="14" l="1"/>
  <c r="B2207" i="14"/>
  <c r="B2335" i="14"/>
  <c r="F2206" i="14"/>
  <c r="F2270" i="14"/>
  <c r="F2335" i="14"/>
  <c r="B2272" i="14" l="1"/>
  <c r="B2208" i="14"/>
  <c r="B2336" i="14"/>
  <c r="F2336" i="14"/>
  <c r="F2207" i="14"/>
  <c r="F2271" i="14"/>
  <c r="B2273" i="14" l="1"/>
  <c r="B2209" i="14"/>
  <c r="B2337" i="14"/>
  <c r="F2337" i="14"/>
  <c r="F2272" i="14"/>
  <c r="F2208" i="14"/>
  <c r="B2274" i="14" l="1"/>
  <c r="B2210" i="14"/>
  <c r="B2338" i="14"/>
  <c r="F2209" i="14"/>
  <c r="F2273" i="14"/>
  <c r="F2338" i="14"/>
  <c r="B2275" i="14" l="1"/>
  <c r="B2211" i="14"/>
  <c r="B2339" i="14"/>
  <c r="F2210" i="14"/>
  <c r="F2274" i="14"/>
  <c r="F2339" i="14"/>
  <c r="B2276" i="14" l="1"/>
  <c r="B2212" i="14"/>
  <c r="B2340" i="14"/>
  <c r="F2340" i="14"/>
  <c r="F2275" i="14"/>
  <c r="F2211" i="14"/>
  <c r="B2213" i="14" l="1"/>
  <c r="B2277" i="14"/>
  <c r="B2341" i="14"/>
  <c r="F2212" i="14"/>
  <c r="F2341" i="14"/>
  <c r="F2276" i="14"/>
  <c r="B2342" i="14" l="1"/>
  <c r="B2278" i="14"/>
  <c r="B2214" i="14"/>
  <c r="F2342" i="14"/>
  <c r="F2213" i="14"/>
  <c r="F2277" i="14"/>
  <c r="B2343" i="14" l="1"/>
  <c r="B2279" i="14"/>
  <c r="B2215" i="14"/>
  <c r="F2343" i="14"/>
  <c r="F2214" i="14"/>
  <c r="F2278" i="14"/>
  <c r="B2280" i="14" l="1"/>
  <c r="B2216" i="14"/>
  <c r="B2344" i="14"/>
  <c r="F2215" i="14"/>
  <c r="F2344" i="14"/>
  <c r="F2279" i="14"/>
  <c r="B2281" i="14" l="1"/>
  <c r="B2217" i="14"/>
  <c r="B2345" i="14"/>
  <c r="F2216" i="14"/>
  <c r="F2345" i="14"/>
  <c r="F2280" i="14"/>
  <c r="B2282" i="14" l="1"/>
  <c r="B2218" i="14"/>
  <c r="B2346" i="14"/>
  <c r="F2217" i="14"/>
  <c r="F2346" i="14"/>
  <c r="F2281" i="14"/>
  <c r="B2283" i="14" l="1"/>
  <c r="B2219" i="14"/>
  <c r="B2347" i="14"/>
  <c r="F2218" i="14"/>
  <c r="F2347" i="14"/>
  <c r="F2282" i="14"/>
  <c r="B2284" i="14" l="1"/>
  <c r="B2220" i="14"/>
  <c r="B2348" i="14"/>
  <c r="F2219" i="14"/>
  <c r="F2348" i="14"/>
  <c r="F2283" i="14"/>
  <c r="B2285" i="14" l="1"/>
  <c r="B2221" i="14"/>
  <c r="B2349" i="14"/>
  <c r="F2220" i="14"/>
  <c r="F2349" i="14"/>
  <c r="F2284" i="14"/>
  <c r="B2286" i="14" l="1"/>
  <c r="B2222" i="14"/>
  <c r="B2350" i="14"/>
  <c r="F2350" i="14"/>
  <c r="F2221" i="14"/>
  <c r="F2285" i="14"/>
  <c r="B2287" i="14" l="1"/>
  <c r="B2223" i="14"/>
  <c r="B2351" i="14"/>
  <c r="F2222" i="14"/>
  <c r="F2351" i="14"/>
  <c r="F2286" i="14"/>
  <c r="B2288" i="14" l="1"/>
  <c r="B2224" i="14"/>
  <c r="B2352" i="14"/>
  <c r="F2223" i="14"/>
  <c r="F2352" i="14"/>
  <c r="F2287" i="14"/>
  <c r="B2289" i="14" l="1"/>
  <c r="B2225" i="14"/>
  <c r="B2353" i="14"/>
  <c r="F2353" i="14"/>
  <c r="F2288" i="14"/>
  <c r="F2224" i="14"/>
  <c r="B2290" i="14" l="1"/>
  <c r="B2226" i="14"/>
  <c r="B2354" i="14"/>
  <c r="F2225" i="14"/>
  <c r="F2354" i="14"/>
  <c r="F2289" i="14"/>
  <c r="B2291" i="14" l="1"/>
  <c r="B2355" i="14"/>
  <c r="F2226" i="14"/>
  <c r="F2355" i="14"/>
  <c r="F2290" i="14"/>
  <c r="B2356" i="14" l="1"/>
  <c r="B2292" i="14"/>
  <c r="F2291" i="14"/>
  <c r="F2356" i="14"/>
  <c r="B2293" i="14" l="1"/>
  <c r="B2357" i="14"/>
  <c r="F2292" i="14"/>
  <c r="F2357" i="14"/>
  <c r="B2358" i="14" l="1"/>
  <c r="B2294" i="14"/>
  <c r="F2358" i="14"/>
  <c r="F2293" i="14"/>
  <c r="B2359" i="14" l="1"/>
  <c r="B2295" i="14"/>
  <c r="F2359" i="14"/>
  <c r="F2294" i="14"/>
  <c r="B2360" i="14" l="1"/>
  <c r="B2296" i="14"/>
  <c r="F2360" i="14"/>
  <c r="F2295" i="14"/>
  <c r="B2361" i="14" l="1"/>
  <c r="B2297" i="14"/>
  <c r="F2361" i="14"/>
  <c r="F2296" i="14"/>
  <c r="B2362" i="14" l="1"/>
  <c r="B2298" i="14"/>
  <c r="F2297" i="14"/>
  <c r="F2362" i="14"/>
  <c r="B2299" i="14" l="1"/>
  <c r="B2363" i="14"/>
  <c r="F2298" i="14"/>
  <c r="F2363" i="14"/>
  <c r="B2364" i="14" l="1"/>
  <c r="B2300" i="14"/>
  <c r="F2299" i="14"/>
  <c r="F2364" i="14"/>
  <c r="B2365" i="14" l="1"/>
  <c r="B2301" i="14"/>
  <c r="F2300" i="14"/>
  <c r="F2365" i="14"/>
  <c r="B2366" i="14" l="1"/>
  <c r="B2302" i="14"/>
  <c r="F2366" i="14"/>
  <c r="F2301" i="14"/>
  <c r="B2367" i="14" l="1"/>
  <c r="B2303" i="14"/>
  <c r="F2367" i="14"/>
  <c r="F2302" i="14"/>
  <c r="B2368" i="14" l="1"/>
  <c r="B2304" i="14"/>
  <c r="F2368" i="14"/>
  <c r="F2303" i="14"/>
  <c r="B2369" i="14" l="1"/>
  <c r="B2305" i="14"/>
  <c r="F2369" i="14"/>
  <c r="F2304" i="14"/>
  <c r="B2370" i="14" l="1"/>
  <c r="B2306" i="14"/>
  <c r="F2305" i="14"/>
  <c r="F2370" i="14"/>
  <c r="B2371" i="14" l="1"/>
  <c r="B2307" i="14"/>
  <c r="F2306" i="14"/>
  <c r="F2371" i="14"/>
  <c r="B2372" i="14" l="1"/>
  <c r="B2308" i="14"/>
  <c r="F2307" i="14"/>
  <c r="F2372" i="14"/>
  <c r="B2309" i="14" l="1"/>
  <c r="B2373" i="14"/>
  <c r="F2308" i="14"/>
  <c r="F2373" i="14"/>
  <c r="B2374" i="14" l="1"/>
  <c r="B2310" i="14"/>
  <c r="F2374" i="14"/>
  <c r="F2309" i="14"/>
  <c r="B2375" i="14" l="1"/>
  <c r="B2311" i="14"/>
  <c r="F2375" i="14"/>
  <c r="F2310" i="14"/>
  <c r="B2376" i="14" l="1"/>
  <c r="B2312" i="14"/>
  <c r="F2376" i="14"/>
  <c r="F2311" i="14"/>
  <c r="B2377" i="14" l="1"/>
  <c r="B2313" i="14"/>
  <c r="F2377" i="14"/>
  <c r="F2312" i="14"/>
  <c r="B2378" i="14" l="1"/>
  <c r="B2314" i="14"/>
  <c r="F2313" i="14"/>
  <c r="F2378" i="14"/>
  <c r="B2315" i="14" l="1"/>
  <c r="B2379" i="14"/>
  <c r="F2314" i="14"/>
  <c r="F2379" i="14"/>
  <c r="B2380" i="14" l="1"/>
  <c r="B2316" i="14"/>
  <c r="F2315" i="14"/>
  <c r="F2380" i="14"/>
  <c r="B2381" i="14" l="1"/>
  <c r="B2317" i="14"/>
  <c r="F2316" i="14"/>
  <c r="F2381" i="14"/>
  <c r="B2382" i="14" l="1"/>
  <c r="F2317" i="14"/>
  <c r="B2383" i="14" l="1"/>
  <c r="F2382" i="14"/>
  <c r="B2384" i="14" l="1"/>
  <c r="F2383" i="14"/>
  <c r="B2385" i="14" l="1"/>
  <c r="F2384" i="14"/>
  <c r="B2386" i="14" l="1"/>
  <c r="F2385" i="14"/>
  <c r="B2387" i="14" l="1"/>
  <c r="F2386" i="14"/>
  <c r="B2388" i="14" l="1"/>
  <c r="F2387" i="14"/>
  <c r="B2389" i="14" l="1"/>
  <c r="F2388" i="14"/>
  <c r="B2390" i="14" l="1"/>
  <c r="F2389" i="14"/>
  <c r="B2391" i="14" l="1"/>
  <c r="F2390" i="14"/>
  <c r="B2392" i="14" l="1"/>
  <c r="F2391" i="14"/>
  <c r="B2393" i="14" l="1"/>
  <c r="F2392" i="14"/>
  <c r="B2394" i="14" l="1"/>
  <c r="F2393" i="14"/>
  <c r="B2395" i="14" l="1"/>
  <c r="F2394" i="14"/>
  <c r="B2396" i="14" l="1"/>
  <c r="F2395" i="14"/>
  <c r="B2397" i="14" l="1"/>
  <c r="F2396" i="14"/>
  <c r="B2398" i="14" l="1"/>
  <c r="F2397" i="14"/>
  <c r="B2399" i="14" l="1"/>
  <c r="F2398" i="14"/>
  <c r="B2400" i="14" l="1"/>
  <c r="F2399" i="14"/>
  <c r="B2401" i="14" l="1"/>
  <c r="F2400" i="14"/>
  <c r="B2402" i="14" l="1"/>
  <c r="F2401" i="14"/>
  <c r="B2403" i="14" l="1"/>
  <c r="F2402" i="14"/>
  <c r="B2404" i="14" l="1"/>
  <c r="F2403" i="14"/>
  <c r="B2405" i="14" l="1"/>
  <c r="F2404" i="14"/>
  <c r="B2406" i="14" l="1"/>
  <c r="F2405" i="14"/>
  <c r="B2407" i="14" l="1"/>
  <c r="F2406" i="14"/>
  <c r="B2408" i="14" l="1"/>
  <c r="F2408" i="14"/>
  <c r="F2407" i="14"/>
  <c r="CL24" i="12" l="1"/>
  <c r="CI24" i="12"/>
  <c r="CG24" i="12"/>
  <c r="BZ24" i="12"/>
  <c r="BJ24" i="12"/>
  <c r="BE24" i="12"/>
  <c r="BC24" i="12"/>
  <c r="AV24" i="12"/>
  <c r="V24" i="12"/>
  <c r="CM24" i="12" s="1"/>
  <c r="L4" i="2"/>
  <c r="L6" i="2"/>
  <c r="L7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CP25" i="2"/>
  <c r="CM25" i="2"/>
  <c r="CN25" i="2"/>
  <c r="CG25" i="2"/>
  <c r="CH25" i="2"/>
  <c r="CH24" i="2"/>
  <c r="CD25" i="2"/>
  <c r="BT25" i="2"/>
  <c r="BT24" i="2"/>
  <c r="BK25" i="2"/>
  <c r="BK24" i="2"/>
  <c r="BD25" i="2"/>
  <c r="L24" i="2"/>
  <c r="L25" i="2"/>
  <c r="M25" i="2"/>
  <c r="AD11" i="1"/>
  <c r="AC11" i="1"/>
  <c r="Z11" i="1"/>
  <c r="Y11" i="1"/>
  <c r="G11" i="1"/>
  <c r="F11" i="1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CM18" i="12" s="1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CM10" i="12" s="1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CM3" i="12" s="1"/>
  <c r="Y23" i="3"/>
  <c r="U23" i="3"/>
  <c r="R23" i="3"/>
  <c r="L23" i="3"/>
  <c r="K23" i="3"/>
  <c r="CP24" i="2"/>
  <c r="CN24" i="2"/>
  <c r="CG24" i="2"/>
  <c r="BD24" i="2"/>
  <c r="M24" i="2"/>
  <c r="AW10" i="1"/>
  <c r="AV10" i="1"/>
  <c r="AU10" i="1"/>
  <c r="AD10" i="1"/>
  <c r="AC10" i="1"/>
  <c r="Z10" i="1"/>
  <c r="U10" i="1"/>
  <c r="Y10" i="1" s="1"/>
  <c r="S10" i="1"/>
  <c r="R10" i="1"/>
  <c r="Q10" i="1"/>
  <c r="J10" i="1"/>
  <c r="H10" i="1"/>
  <c r="G10" i="1"/>
  <c r="CM20" i="12" l="1"/>
  <c r="CM13" i="12"/>
  <c r="CM4" i="12"/>
  <c r="CM12" i="12"/>
  <c r="CM5" i="12"/>
  <c r="CM21" i="12"/>
  <c r="CM22" i="12"/>
  <c r="CM6" i="12"/>
  <c r="CM7" i="12"/>
  <c r="CM9" i="12"/>
  <c r="CM14" i="12"/>
  <c r="CM15" i="12"/>
  <c r="CM23" i="12"/>
  <c r="CM8" i="12"/>
  <c r="CM16" i="12"/>
  <c r="CM17" i="12"/>
  <c r="BT23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CH23" i="2"/>
  <c r="J9" i="1"/>
  <c r="H9" i="1"/>
  <c r="G9" i="1"/>
  <c r="L22" i="3"/>
  <c r="K22" i="3"/>
  <c r="F9" i="1"/>
  <c r="CP23" i="2"/>
  <c r="CN23" i="2"/>
  <c r="CM23" i="2"/>
  <c r="CG23" i="2"/>
  <c r="BK23" i="2"/>
  <c r="M23" i="2"/>
  <c r="BD23" i="2"/>
  <c r="BD22" i="2"/>
  <c r="Y22" i="3"/>
  <c r="U22" i="3"/>
  <c r="R22" i="3"/>
  <c r="Y9" i="1"/>
  <c r="Z9" i="1"/>
  <c r="AC9" i="1"/>
  <c r="AD9" i="1"/>
  <c r="BH4" i="2" l="1"/>
  <c r="BG4" i="2"/>
  <c r="R7" i="2" l="1"/>
  <c r="F7" i="2"/>
  <c r="J7" i="2"/>
  <c r="I7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7" i="2"/>
  <c r="M4" i="2"/>
  <c r="M6" i="2"/>
  <c r="CD22" i="2" l="1"/>
  <c r="CH22" i="2"/>
  <c r="CD21" i="2"/>
  <c r="CH21" i="2"/>
  <c r="CD20" i="2"/>
  <c r="CH20" i="2"/>
  <c r="CM19" i="2"/>
  <c r="BK19" i="2"/>
  <c r="CD19" i="2"/>
  <c r="CH19" i="2"/>
  <c r="CD18" i="2" l="1"/>
  <c r="CH18" i="2"/>
  <c r="CD17" i="2"/>
  <c r="CH17" i="2"/>
  <c r="CD16" i="2" l="1"/>
  <c r="CH16" i="2"/>
  <c r="CH15" i="2"/>
  <c r="CD14" i="2"/>
  <c r="BK14" i="2"/>
  <c r="CH14" i="2"/>
  <c r="CH13" i="2"/>
  <c r="CD12" i="2"/>
  <c r="CH12" i="2"/>
  <c r="CH11" i="2"/>
  <c r="CN10" i="2"/>
  <c r="CH10" i="2"/>
  <c r="CH9" i="2"/>
  <c r="CD10" i="2" l="1"/>
  <c r="CD9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7" i="2"/>
  <c r="BK22" i="2" l="1"/>
  <c r="CG22" i="2"/>
  <c r="CP22" i="2"/>
  <c r="CN22" i="2"/>
  <c r="CP21" i="2"/>
  <c r="CN21" i="2"/>
  <c r="CM21" i="2"/>
  <c r="CG21" i="2"/>
  <c r="BK21" i="2"/>
  <c r="BK20" i="2"/>
  <c r="CG20" i="2"/>
  <c r="CN20" i="2"/>
  <c r="CP20" i="2"/>
  <c r="CP19" i="2"/>
  <c r="CN19" i="2"/>
  <c r="CG19" i="2"/>
  <c r="BK18" i="2"/>
  <c r="CG18" i="2"/>
  <c r="CN18" i="2"/>
  <c r="CP18" i="2"/>
  <c r="CP17" i="2"/>
  <c r="CN17" i="2"/>
  <c r="CM17" i="2"/>
  <c r="CG17" i="2"/>
  <c r="BK17" i="2"/>
  <c r="BK16" i="2"/>
  <c r="CG16" i="2"/>
  <c r="CP16" i="2"/>
  <c r="CN16" i="2"/>
  <c r="CP15" i="2"/>
  <c r="CM15" i="2"/>
  <c r="BK15" i="2"/>
  <c r="CP14" i="2"/>
  <c r="CP13" i="2"/>
  <c r="CM13" i="2"/>
  <c r="BK13" i="2"/>
  <c r="BK12" i="2"/>
  <c r="CM12" i="2"/>
  <c r="CP12" i="2"/>
  <c r="CP11" i="2"/>
  <c r="CM11" i="2"/>
  <c r="BK11" i="2"/>
  <c r="CP10" i="2"/>
  <c r="CG10" i="2"/>
  <c r="BK10" i="2"/>
  <c r="CM9" i="2"/>
  <c r="CP9" i="2"/>
  <c r="CN9" i="2"/>
  <c r="CG9" i="2"/>
  <c r="BK9" i="2"/>
  <c r="CH7" i="2" l="1"/>
  <c r="BD6" i="2" l="1"/>
  <c r="BD4" i="2"/>
  <c r="E15" i="3" l="1"/>
  <c r="Y6" i="3"/>
  <c r="Y5" i="3"/>
  <c r="Y4" i="3"/>
  <c r="Y3" i="3"/>
  <c r="BJ5" i="1"/>
  <c r="BJ6" i="1"/>
  <c r="BJ7" i="1"/>
  <c r="BJ8" i="1"/>
  <c r="BJ4" i="1"/>
  <c r="Y21" i="3" l="1"/>
  <c r="Y20" i="3"/>
  <c r="Y19" i="3" l="1"/>
  <c r="Y18" i="3"/>
  <c r="Y17" i="3"/>
  <c r="Y16" i="3"/>
  <c r="Y15" i="3"/>
  <c r="U15" i="3"/>
  <c r="Y14" i="3"/>
  <c r="E14" i="3" l="1"/>
  <c r="Y13" i="3"/>
  <c r="E13" i="3"/>
  <c r="Y12" i="3"/>
  <c r="E12" i="3"/>
  <c r="Y11" i="3"/>
  <c r="E11" i="3"/>
  <c r="E10" i="3" l="1"/>
  <c r="E9" i="3"/>
  <c r="E8" i="3"/>
  <c r="E7" i="3"/>
  <c r="E6" i="3"/>
  <c r="E5" i="3" l="1"/>
  <c r="E4" i="3"/>
  <c r="E3" i="3"/>
  <c r="J7" i="1" l="1"/>
  <c r="H7" i="1"/>
  <c r="G7" i="1"/>
  <c r="AW6" i="1"/>
  <c r="AV6" i="1"/>
  <c r="AU6" i="1"/>
  <c r="J6" i="1" l="1"/>
  <c r="H6" i="1"/>
  <c r="G6" i="1"/>
  <c r="J5" i="1" l="1"/>
  <c r="H5" i="1"/>
  <c r="G5" i="1"/>
  <c r="J4" i="1"/>
  <c r="H4" i="1"/>
  <c r="G4" i="1"/>
  <c r="J3" i="1"/>
  <c r="H3" i="1"/>
  <c r="G3" i="1"/>
  <c r="J8" i="1"/>
  <c r="H8" i="1"/>
  <c r="G8" i="1"/>
  <c r="F8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6" i="2" l="1"/>
  <c r="B5" i="1"/>
  <c r="B7" i="2" l="1"/>
  <c r="B6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<sst xmlns="http://schemas.openxmlformats.org/spreadsheetml/2006/main" count="8628" uniqueCount="1393">
  <si>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</si>
  <si>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</si>
  <si>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</si>
  <si>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</si>
  <si>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</si>
  <si>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</si>
  <si>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</si>
  <si>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</si>
  <si>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</si>
  <si>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</si>
  <si>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</si>
  <si>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</si>
  <si>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</si>
  <si>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</si>
  <si>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</si>
  <si>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</si>
  <si>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</si>
  <si>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</si>
  <si>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</si>
  <si>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</si>
  <si>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</si>
  <si>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</si>
  <si>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</si>
  <si>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</si>
  <si>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</si>
  <si>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</si>
  <si>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</si>
  <si>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</si>
  <si>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</si>
  <si>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</si>
  <si>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</si>
  <si>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</si>
  <si>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</si>
  <si>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</si>
  <si>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</si>
  <si>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</si>
  <si>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</si>
  <si>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</si>
  <si>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</si>
  <si>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</si>
  <si>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</si>
  <si>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</si>
  <si>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</si>
  <si>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</si>
  <si>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</si>
  <si>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</si>
  <si>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</si>
  <si>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</si>
  <si>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</si>
  <si>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</si>
  <si>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</si>
  <si>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</si>
  <si>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</si>
  <si>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</si>
  <si>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</si>
  <si>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</si>
  <si>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</si>
  <si>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</si>
  <si>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</si>
  <si>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</si>
  <si>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</si>
  <si>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</si>
  <si>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</si>
  <si>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</si>
  <si>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</si>
  <si>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</si>
  <si>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</si>
  <si>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</si>
  <si>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</si>
  <si>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</si>
  <si>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</si>
  <si>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</si>
  <si>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</si>
  <si>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</si>
  <si>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</si>
  <si>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</si>
  <si>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</si>
  <si>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</si>
  <si>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</si>
  <si>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</si>
  <si>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</si>
  <si>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</si>
  <si>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</si>
  <si>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</si>
  <si>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</si>
  <si>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</si>
  <si>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</si>
  <si>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</si>
  <si>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</si>
  <si>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</si>
  <si>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</si>
  <si>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</si>
  <si>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</si>
  <si>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</si>
  <si>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</si>
  <si>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</si>
  <si>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</si>
  <si>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</si>
  <si>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</si>
  <si>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</si>
  <si>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</si>
  <si>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</si>
  <si>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</si>
  <si>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</si>
  <si>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</si>
  <si>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</si>
  <si>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</si>
  <si>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</si>
  <si>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</si>
  <si>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</si>
  <si>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</si>
  <si>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</si>
  <si>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</si>
  <si>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</si>
  <si>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</si>
  <si>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</si>
  <si>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</si>
  <si>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</si>
  <si>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</si>
  <si>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</si>
  <si>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</si>
  <si>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</si>
  <si>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</si>
  <si>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</si>
  <si>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</si>
  <si>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</si>
  <si>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</si>
  <si>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</si>
  <si>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</si>
  <si>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</si>
  <si>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</si>
  <si>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</si>
  <si>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</si>
  <si>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</si>
  <si>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</si>
  <si>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</si>
  <si>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</si>
  <si>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</si>
  <si>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</si>
  <si>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</si>
  <si>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</si>
  <si>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</si>
  <si>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</si>
  <si>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</si>
  <si>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</si>
  <si>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</si>
  <si>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</si>
  <si>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</si>
  <si>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</si>
  <si>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</si>
  <si>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</si>
  <si>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</si>
  <si>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</si>
  <si>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</si>
  <si>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</si>
  <si>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</si>
  <si>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</si>
  <si>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</si>
  <si>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</si>
  <si>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</si>
  <si>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</si>
  <si>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</si>
  <si>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</si>
  <si>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</si>
  <si>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</si>
  <si>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</si>
  <si>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</si>
  <si>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</si>
  <si>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</si>
  <si>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</si>
  <si>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</si>
  <si>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</si>
  <si>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</si>
  <si>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</si>
  <si>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</si>
  <si>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</si>
  <si>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</si>
  <si>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</si>
  <si>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</si>
  <si>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</si>
  <si>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</si>
  <si>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</si>
  <si>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</si>
  <si>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</si>
  <si>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</si>
  <si>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</si>
  <si>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</si>
  <si>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</si>
  <si>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</si>
  <si>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</si>
  <si>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</si>
  <si>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</si>
  <si>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</si>
  <si>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</si>
  <si>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</si>
  <si>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</si>
  <si>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</si>
  <si>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</si>
  <si>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</si>
  <si>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</si>
  <si>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</si>
  <si>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</si>
  <si>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</si>
  <si>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</si>
  <si>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</si>
  <si>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</si>
  <si>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</si>
  <si>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</si>
  <si>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</si>
  <si>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</si>
  <si>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</si>
  <si>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</si>
  <si>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</si>
  <si>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</si>
  <si>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</si>
  <si>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</si>
  <si>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</si>
  <si>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</si>
  <si>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</si>
  <si>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</si>
  <si>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</si>
  <si>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</si>
  <si>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</si>
  <si>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</si>
  <si>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</si>
  <si>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</si>
  <si>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</si>
  <si>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</si>
  <si>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</si>
  <si>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</si>
  <si>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</si>
  <si>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</si>
  <si>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</si>
  <si>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</si>
  <si>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</si>
  <si>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</si>
  <si>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</si>
  <si>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</si>
  <si>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</si>
  <si>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</si>
  <si>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</si>
  <si>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</si>
  <si>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</si>
  <si>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</si>
  <si>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</si>
  <si>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</si>
  <si>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</si>
  <si>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</si>
  <si>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</si>
  <si>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</si>
  <si>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</si>
  <si>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</si>
  <si>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</si>
  <si>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</si>
  <si>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</si>
  <si>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</si>
  <si>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</si>
  <si>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</si>
  <si>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</si>
  <si>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</si>
  <si>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</si>
  <si>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</si>
  <si>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</si>
  <si>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</si>
  <si>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</si>
  <si>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</si>
  <si>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</si>
  <si>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</si>
  <si>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</si>
  <si>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</si>
  <si>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</si>
  <si>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</si>
  <si>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</si>
  <si>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</si>
  <si>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</si>
  <si>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</si>
  <si>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</si>
  <si>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</si>
  <si>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</si>
  <si>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</si>
  <si>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</si>
  <si>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</si>
  <si>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</si>
  <si>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</si>
  <si>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</si>
  <si>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</si>
  <si>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</si>
  <si>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</si>
  <si>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</si>
  <si>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</si>
  <si>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</si>
  <si>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</si>
  <si>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</si>
  <si>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</si>
  <si>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</si>
  <si>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</si>
  <si>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</si>
  <si>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</si>
  <si>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</si>
  <si>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</si>
  <si>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</si>
  <si>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</si>
  <si>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</si>
  <si>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</si>
  <si>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</si>
  <si>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</si>
  <si>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</si>
  <si>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</si>
  <si>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</si>
  <si>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</si>
  <si>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</si>
  <si>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</si>
  <si>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</si>
  <si>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</si>
  <si>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</si>
  <si>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Oregon PERS CAFR 2014.pdf Pg No:23</t>
  </si>
  <si>
    <t>Oregon PERS CAFR 2014.pdf Pf No. 58</t>
  </si>
  <si>
    <t>Oregon PERS CAFR 2015.pdf Pg No:23</t>
  </si>
  <si>
    <t>Oregon PERS CAFR 2015.pdf Pf No. 62</t>
  </si>
  <si>
    <t>Oregon Public Employees Retirement System</t>
  </si>
  <si>
    <t>RP-2000</t>
  </si>
  <si>
    <t>No</t>
  </si>
  <si>
    <t>Oregon PERS CAFR 2002.pdf Pg No: 33</t>
  </si>
  <si>
    <t>EAN</t>
  </si>
  <si>
    <t>Oregon PERS CAFR 2002.pdf Pg No: 32</t>
  </si>
  <si>
    <t>Oregon PERS CAFR 2001.pdf Pg No: 13</t>
  </si>
  <si>
    <t>Oregon PERS CAFR 2003.pdf Pg No: 33</t>
  </si>
  <si>
    <t>Oregon PERS CAFR 2002.pdf Pg No: 34</t>
  </si>
  <si>
    <t>Oregon PERS CAFR 2002.pdf Pg No: 19</t>
  </si>
  <si>
    <t>Oregon PERS CAFR 2003.pdf Pg No: 32</t>
  </si>
  <si>
    <t>Oregon PERS CAFR 2003.pdf Pg No: 19</t>
  </si>
  <si>
    <t>Oregon PERS CAFR 2005.pdf Pg No: 37</t>
  </si>
  <si>
    <t>Oregon PERS CAFR 2004.pdf Pg No: 34</t>
  </si>
  <si>
    <t>Oregon PERS CAFR 2005.pdf Pg No: 38</t>
  </si>
  <si>
    <t>Oregon PERS CAFR 2006.pdf Pg No: 39</t>
  </si>
  <si>
    <t>Oregon PERS CAFR 2004.pdf Pg No: 18</t>
  </si>
  <si>
    <t>Oregon PERS CAFR 2004.pdf Pg No: 35</t>
  </si>
  <si>
    <t>Oregon PERS CAFR 2006.pdf Pg No: 40</t>
  </si>
  <si>
    <t>Oregon PERS CAFR 2005.pdf Pg No: 20</t>
  </si>
  <si>
    <t>Oregon PERS CAFR 2005.pdf Pg No: 39</t>
  </si>
  <si>
    <t>Oregon PERS CAFR 2007.pdf Pg No: 42</t>
  </si>
  <si>
    <t>Oregon PERS CAFR 2007.pdf Pg No: 41</t>
  </si>
  <si>
    <t>Oregon PERS CAFR 2006.pdf Pg No: 43</t>
  </si>
  <si>
    <t>Oregon PERS CAFR 2006.pdf Pg No: 41</t>
  </si>
  <si>
    <t>Oregon PERS CAFR 2008.pdf Pg No: 42</t>
  </si>
  <si>
    <t>Oregon PERS CAFR 2008.pdf Pg No: 41</t>
  </si>
  <si>
    <t>Oregon PERS CAFR 2008.pdf Pg No: 22</t>
  </si>
  <si>
    <t>Oregon PERS CAFR 2007.pdf Pg No: 22</t>
  </si>
  <si>
    <t>Oregon PERS CAFR 2007.pdf Pg No: 73</t>
  </si>
  <si>
    <t>Oregon PERS CAFR 2009.pdf Pg No: 40</t>
  </si>
  <si>
    <t>Oregon PERS CAFR 2008.pdf Pg No: 72</t>
  </si>
  <si>
    <t xml:space="preserve">Oregon PERS CAFR 2008.pdf Pg No: 43 </t>
  </si>
  <si>
    <t>Oregon PERS CAFR 2007.pdf Pg No: 43</t>
  </si>
  <si>
    <t>Oregon PERS CAFR 2010.pdf Pg No: 50</t>
  </si>
  <si>
    <t>Oregon PERS CAFR 2010.pdf Pg No: 49</t>
  </si>
  <si>
    <t>Oregon PERS CAFR 2009.pdf Pg No: 22</t>
  </si>
  <si>
    <t>Oregon PERS CAFR 2009.pdf Pg No: 71</t>
  </si>
  <si>
    <t>Oregon PERS CAFR 2009.pdf Pg No: 41</t>
  </si>
  <si>
    <t>Oregon PERS CAFR 2011.pdf Pg No: 54</t>
  </si>
  <si>
    <t>Oregon PERS CAFR 2009.pdf Pg No: 39</t>
  </si>
  <si>
    <t>Oregon PERS CAFR 2011.pdf Pg No: 53</t>
  </si>
  <si>
    <t>Oregon PERS CAFR 2010.pdf Pg No: 22</t>
  </si>
  <si>
    <t>PUC</t>
  </si>
  <si>
    <t>Oregon PERS CAFR 2010.pdf Pg No: 31</t>
  </si>
  <si>
    <t>Oregon PERS CAFR 2010.pdf Pg No: 83</t>
  </si>
  <si>
    <t>Oregon PERS CAFR 2009.pdf Pg No: 31</t>
  </si>
  <si>
    <t>Oregon PERS CAFR 2011.pdf Pg No: 35</t>
  </si>
  <si>
    <t>Oregon PERS CAFR 2012.pdf Pg No: 53</t>
  </si>
  <si>
    <t>Oregon PERS CAFR 2011.pdf Pg No: 22</t>
  </si>
  <si>
    <t>Oregon PERS CAFR 2011.pdf Pg No: 34</t>
  </si>
  <si>
    <t>Oregon PERS CAFR 2011.pdf Pg No: 86</t>
  </si>
  <si>
    <t>Oregon PERS CAFR 2012.pdf Pg No: 54</t>
  </si>
  <si>
    <t>Oregon PERS CAFR 2013.pdf Pg No: 58</t>
  </si>
  <si>
    <t>Oregon PERS CAFR 2013.pdf Pg No: 56</t>
  </si>
  <si>
    <t>Oregon PERS CAFR 2012.pdf Pg No: 35</t>
  </si>
  <si>
    <t>Oregon PERS CAFR 2012.pdf Pg No: 22</t>
  </si>
  <si>
    <t>Oregon PERS CAFR 2012.pdf Pg No: 34</t>
  </si>
  <si>
    <t>Oregon PERS CAFR 2012.pdf Pg No: 84</t>
  </si>
  <si>
    <t>Oregon PERS CAFR 2013.pdf Pg No: 39</t>
  </si>
  <si>
    <t>Oregon PERS CAFR 2013.pdf Pg No: 92</t>
  </si>
  <si>
    <t>Oregon PERS CAFR 2013.pdf Pg No: 26</t>
  </si>
  <si>
    <t>Oregon PERS CAFR 2013.pdf Pg No: 40</t>
  </si>
  <si>
    <t>Oregon PERS CAFR 2014.pdf Pg No: 58</t>
  </si>
  <si>
    <t>Oregon PERS CAFR 2014.pdf Pg No: 38</t>
  </si>
  <si>
    <t>Oregon PERS CAFR 2014.pdf Pg No: 28</t>
  </si>
  <si>
    <t>Oregon PERS CAFR 2015.pdf Pg No: 38</t>
  </si>
  <si>
    <t>Oregon PERS CAFR 2015.pdf Pg No: 57</t>
  </si>
  <si>
    <t>Oregon PERS CAFR 2015.pdf Pg No: 28</t>
  </si>
  <si>
    <t>Oregon PERS CAFR 2014.pdf Pg No: 94</t>
  </si>
  <si>
    <t>Oregon PERS CAFR 2015.pdf Pg No: 98</t>
  </si>
  <si>
    <t>Oregon PERS CAFR 2016.pdf Pg No: 70</t>
  </si>
  <si>
    <t>Oregon PERS CAFR 2017.pdf Pg No: 43</t>
  </si>
  <si>
    <t>Oregon PERS CAFR 2017.pdf Pg No: 65</t>
  </si>
  <si>
    <t>Oregon PERS CAFR 2018.pdf Pg No: 46</t>
  </si>
  <si>
    <t>Oregon PERS CAFR 2019.pdf Pg No: 77</t>
  </si>
  <si>
    <t>Oregon PERS CAFR 2007.pdf Pg No: 26</t>
  </si>
  <si>
    <t>Oregon PERS CAFR 2008.pdf Pg No: 26</t>
  </si>
  <si>
    <t>Oregon PERS CAFR 2010.pdf Pg No: 29</t>
  </si>
  <si>
    <t>Oregon PERS GASB68 2014.pdf Pg No:38</t>
  </si>
  <si>
    <t>Oregon PERS GASB68 2014.pdf Pg No:37</t>
  </si>
  <si>
    <t>Oregon PERS CAFR 2014.pdf Pf No: 57</t>
  </si>
  <si>
    <t>Oregon PERS CAFR 2014.pdf Pf No: 53</t>
  </si>
  <si>
    <t>Oregon PERS GASB68 2014.pdf Pg No:34</t>
  </si>
  <si>
    <t>Oregon PERS GASB68 2016.pdf Pg No:34</t>
  </si>
  <si>
    <t>Oregon PERS GASB68 2015.pdf Pg No:34</t>
  </si>
  <si>
    <t>Oregon PERS GASB68 2015.pdf Pg No:38</t>
  </si>
  <si>
    <t>Oregon PERS GASB68 2015.pdf Pg No:39</t>
  </si>
  <si>
    <t>Oregon PERS GASB68 2016.pdf Pg No:39</t>
  </si>
  <si>
    <t>Oregon PERS CAFR 2016.pdf Pg No:26</t>
  </si>
  <si>
    <t>Oregon PERS GASB68 2016.pdf Pg No:38</t>
  </si>
  <si>
    <t>Oregon PERS CAFR 2016.pdf Pg No:72</t>
  </si>
  <si>
    <t>Oregon PERS CAFR 2016.pdf Pg No:73</t>
  </si>
  <si>
    <t>Oregon PERS CAFR 2017.pdf Pg No:74</t>
  </si>
  <si>
    <t>Oregon PERS CAFR 2017.pdf Pg No:68</t>
  </si>
  <si>
    <t>Oregon PERS CAFR 2017.pdf Pg No:75</t>
  </si>
  <si>
    <t>Oregon PERS GASB68 2017.pdf Pg No:33</t>
  </si>
  <si>
    <t>Oregon PERS GASB68 2017.pdf Pg No:37</t>
  </si>
  <si>
    <t>Oregon PERS GASB68 2017.pdf Pg No:38</t>
  </si>
  <si>
    <t>Oregon PERS CAFR 2017.pdf Pg No:28</t>
  </si>
  <si>
    <t>Oregon PERS GASB68 2018.pdf Pg No:37</t>
  </si>
  <si>
    <t>Oregon PERS GASB68 2018.pdf Pg No:36</t>
  </si>
  <si>
    <t>Oregon PERS GASB68 2018.pdf Pg No:32</t>
  </si>
  <si>
    <t>Oregon PERS CAFR 2019.pdf Pg No:78</t>
  </si>
  <si>
    <t>Oregon PERS CAFR 2019.pdf Pg No:36</t>
  </si>
  <si>
    <t>Oregon PERS CAFR 2018.pdf Pg No:36</t>
  </si>
  <si>
    <t>Oregon PERS CAFR 2018.pdf Pg No:81</t>
  </si>
  <si>
    <t>Oregon PERS CAFR 2019.pdf Pg No:83</t>
  </si>
  <si>
    <t>Oregon PERS CAFR 2018.pdf Pg No:82</t>
  </si>
  <si>
    <t>Oregon PERS CAFR 2019.pdf Pg No:84</t>
  </si>
  <si>
    <t>Oregon PERS CAFR 2018.pdf Pg No:76</t>
  </si>
  <si>
    <t>Oregon PERS CAFR 2001.pdf Pg No: 34</t>
  </si>
  <si>
    <t>Oregon PERS CAFR 2001.pdf Pg No: 17</t>
  </si>
  <si>
    <t>Oregon PERS CAFR 2003.pdf Pg No: 35</t>
  </si>
  <si>
    <t>Range</t>
  </si>
  <si>
    <t>Yes</t>
  </si>
  <si>
    <t>4 years</t>
  </si>
  <si>
    <t>Pg No 106</t>
  </si>
  <si>
    <t>Pg No 62</t>
  </si>
  <si>
    <t>23 years</t>
  </si>
  <si>
    <t>Pg No 69-70</t>
  </si>
  <si>
    <t>Pg No 24</t>
  </si>
  <si>
    <t>Pg No 25</t>
  </si>
  <si>
    <t>16 years</t>
  </si>
  <si>
    <t>Pg No 103</t>
  </si>
  <si>
    <t>Pg No 99</t>
  </si>
  <si>
    <t>Milliman</t>
  </si>
  <si>
    <t>Pg No 94</t>
  </si>
  <si>
    <t>Pg No 95</t>
  </si>
  <si>
    <t>Pg No 98</t>
  </si>
  <si>
    <t>Pg No 104-105</t>
  </si>
  <si>
    <t>Pg No 97-98</t>
  </si>
  <si>
    <t>Pg No 105</t>
  </si>
  <si>
    <t>Pub-2010</t>
  </si>
  <si>
    <t>Generational Projection with Unisex Social Security Data Scale</t>
  </si>
  <si>
    <t>Pg No 106-107</t>
  </si>
  <si>
    <t>Pg No 108</t>
  </si>
  <si>
    <t>Pg No 105-106</t>
  </si>
  <si>
    <t>Pg No 107</t>
  </si>
  <si>
    <t>Oregon PERS CAFR 2019.pdf Pg No: 42</t>
  </si>
  <si>
    <t>Oregon PERS CAFR 2018.pdf Pg No: 42</t>
  </si>
  <si>
    <t>Oregon PERS CAFR 2016.pdf Pg No: 33</t>
  </si>
  <si>
    <t>Oregon PERS CAFR 2017.pdf Pg No: 35</t>
  </si>
  <si>
    <t>Oregon PERS CAFR 2016.pdf Pg No: 44</t>
  </si>
  <si>
    <t>Oregon PERS CAFR 2017.pdf Pg No: 122</t>
  </si>
  <si>
    <t>Oregon PERS CAFR 2018.pdf Pg No: 131</t>
  </si>
  <si>
    <t>Oregon PERS CAFR 2018.pdf Pg No: 82</t>
  </si>
  <si>
    <t>Oregon PERS CAFR 2018.pdf Pg No: 76</t>
  </si>
  <si>
    <t>Oregon PERS CAFR 2019.pdf Pg No: 76</t>
  </si>
  <si>
    <t>Oregon PERS CAFR 2019.pdf Pg No: 78</t>
  </si>
  <si>
    <t>Oregon PERS CAFR 2019.pdf Pg No: 136</t>
  </si>
  <si>
    <t>Prior year data and source considered here</t>
  </si>
  <si>
    <t>Pension expense</t>
  </si>
  <si>
    <t>2014-2019</t>
  </si>
  <si>
    <t>Data taken from 'Schedule of changes to NPL'. Resulting total will not be equal to the pension expense for that year</t>
  </si>
  <si>
    <t>2001-2003</t>
  </si>
  <si>
    <t>Consumer Price Inflation considered here</t>
  </si>
  <si>
    <t>2001-2003, 2006-2012</t>
  </si>
  <si>
    <t>Future General Wage Inflation considered here</t>
  </si>
  <si>
    <t>Level Percent</t>
  </si>
  <si>
    <t>Level Percent (Increasing Dollar amount)</t>
  </si>
  <si>
    <t>Amortization period to December 31, 2027 or 38 years</t>
  </si>
  <si>
    <t>Amortization period to December 31, 2027</t>
  </si>
  <si>
    <t>24 years or 26 years</t>
  </si>
  <si>
    <t>Tier 1/ Tier2: Amortization period to December 31, 2027; OPSRP Benefits: 16 years</t>
  </si>
  <si>
    <t>Tier 1/ Tier2: 20 years; OPSRP Benefits: 16 years</t>
  </si>
  <si>
    <t>State and Local - Male, General: 1.5yrs, Police fire: 1 yr, Female: 1.5yrs; School district, Male: 2 yr, Female: 3 yr; Judges: Male &amp; Female: 1.5 yr</t>
  </si>
  <si>
    <t>State and Local - Male, General: 1.5yrs, Police fire: 1 yr, Female: 1.5yrs; School district, Male: 2 yrs, Female: 3 yrs; Judges: Male: 1.5yrs, Female: 1.5yrs</t>
  </si>
  <si>
    <t>School District Male: 2yrs; Other General Service Male, Other female, Beneficiary Male and Female: 1.5yrs; Police &amp; Fire Male: 1yr; School District Female: 3yrs</t>
  </si>
  <si>
    <t>School district male: 1yr, School disctrict female: 1.5yrs</t>
  </si>
  <si>
    <t>School District male: 1.5yrs, Other General Service male: 1yr, School District female: 2yrs</t>
  </si>
  <si>
    <t>School District male: 2yrs, Other General Service male: 1yr, Police &amp; Fire male: 1yr; School District female: 2yrs</t>
  </si>
  <si>
    <t>School District male: 1yr, Other General Service male: 1yr, Police &amp; Fire male: 1yr; School District female: 1yr</t>
  </si>
  <si>
    <t>General Employees male: 1yr, Police and Fire female :1yr</t>
  </si>
  <si>
    <t>RP 2014</t>
  </si>
  <si>
    <t>RP 2000</t>
  </si>
  <si>
    <t>Scale BB</t>
  </si>
  <si>
    <t>Scale AA</t>
  </si>
  <si>
    <t>Pg No 111-113</t>
  </si>
  <si>
    <t>Pg No 67-69</t>
  </si>
  <si>
    <t>Pg No 72-74</t>
  </si>
  <si>
    <t>Pg No 85-86</t>
  </si>
  <si>
    <t>Pg No 87-88</t>
  </si>
  <si>
    <t>Pg No 90-91</t>
  </si>
  <si>
    <t>Pg No 92-93</t>
  </si>
  <si>
    <t>Pg No 101-102</t>
  </si>
  <si>
    <t>Pg No 103-104</t>
  </si>
  <si>
    <t>Pg No 93-94</t>
  </si>
  <si>
    <t>Pg No 96-97</t>
  </si>
  <si>
    <t>Gain or Loss Section</t>
  </si>
  <si>
    <t>Includes Tier 1/Tier 2 and OPSRP</t>
  </si>
  <si>
    <t>Contributions taken here</t>
  </si>
  <si>
    <t>Liability (gain) or loss taken here</t>
  </si>
  <si>
    <t>Mercer</t>
  </si>
  <si>
    <t>1.00% - 3.75%, Based on membership</t>
  </si>
  <si>
    <t>Final average salary times years of retirement credit attributable to service as police and fire times 1.8% + final average salary for all other years of retirement credit times 1.5%</t>
  </si>
  <si>
    <t>Tier 1&amp;2: 1.00% - 3.75%, Based on membership; OPSRP: FAS times Yrs of CS attributable to fire and police times 1.8%+ all other years of retirement credit times 1.5%</t>
  </si>
  <si>
    <t>2001-2005</t>
  </si>
  <si>
    <t>2%- Fire, Police and Legislators; 
2.8125% for 16 yrs, 1.67% after 16 yrs: Judges Plan A, limited to 65% of final average monthly salary. 
3.75% for 16 yrs, 2.00% after 16 yrs:Judges Plan B, limited to 75% of final average monthly salary; 
1.67%: All other members
Pension(Formula) Plus Annuity: 1.35%: Fire, Police and Legislators
1.00%: All other members</t>
  </si>
  <si>
    <t>2%:  Fire, Police and Legislators, 
1.67%: All other members 
Formula Plus Annuity: 1.35%: Fire, Police and Legislators
1.00%: All other members
2.8125% for 16 yrs, 1.67% after 16 yrs: Judges Plan A, limited to 65% of final average monthly salary. 
3.75% for 16 yrs, 2.00% after 16 yrs:Judges Plan B, limited to 75% of final average monthly salary. 
OPSRP: A single life annuity equal to Final Average Salary (FAS) times years of retirement credit attributable to service (CS) as fire and police times 1.8% plus Final Average Salary times all other years of retirement credit times 1.5%</t>
  </si>
  <si>
    <t>Pre-2014: 2% of the previous year's benefit, except for 2013 when the adjustment is limited to 1.5%.</t>
  </si>
  <si>
    <t>Post- 2013: 1.25% on the first $60,000 of annual benefit and 0.15% on amounts above $60,000 of annual benefit.</t>
  </si>
  <si>
    <t>1.25% on the first $60,000 of annual benefit and 0.15% on amounts above $60,000 of annual benefit.</t>
  </si>
  <si>
    <t>2% of previous years benefits</t>
  </si>
  <si>
    <t>GASB 68</t>
  </si>
  <si>
    <t>School District Male&amp;Female: 3yrs; Other General Service Male, Beneficiary Male: 2yrs, Other female and Beneficiary Female: 1.5yrs; Police &amp; Fire Male: 1yr</t>
  </si>
  <si>
    <t>Values taken from 2004 Valuation report as 2001- 2003 valuation reports has combined the values for Pension and Healthcare Plans</t>
  </si>
  <si>
    <t>Includes plan changes</t>
  </si>
  <si>
    <t>Employer Joining SLGRP taken here</t>
  </si>
  <si>
    <t>Expected Increase(change) taken here</t>
  </si>
  <si>
    <t>Administrative expenses taken here</t>
  </si>
  <si>
    <t>2006-2007, 2009, 2011-2012, 2015, 2017</t>
  </si>
  <si>
    <t>Oregon PERS CAFR 2001.pdf Pg No: 26-27</t>
  </si>
  <si>
    <t>Oregon PERS CAFR 2002.pdf Pg No: 28</t>
  </si>
  <si>
    <t>Oregon PERS CAFR 2003.pdf Pg No: 28</t>
  </si>
  <si>
    <t>Oregon PERS CAFR 2004.pdf Pg No: 28-29</t>
  </si>
  <si>
    <t>Oregon PERS CAFR 2005.pdf Pg No: 32-33</t>
  </si>
  <si>
    <t>Oregon PERS CAFR 2006.pdf Pg No: 32-33</t>
  </si>
  <si>
    <t>Oregon PERS CAFR 2007.pdf Pg No: 36</t>
  </si>
  <si>
    <t>Oregon PERS CAFR 2008.pdf Pg No: 36</t>
  </si>
  <si>
    <t>Oregon PERS CAFR 2009.pdf Pg No: 37</t>
  </si>
  <si>
    <t>Oregon PERS CAFR 2010.pdf Pg No: 45</t>
  </si>
  <si>
    <t>Oregon PERS CAFR 2011.pdf Pg No: 30</t>
  </si>
  <si>
    <t>Oregon PERS CAFR 2012.pdf Pg No: 29-30</t>
  </si>
  <si>
    <t>Oregon PERS CAFR 2013.pdf Pg No: 33-34</t>
  </si>
  <si>
    <t>Oregon PERS CAFR 2014.pdf Pg No: 39-40</t>
  </si>
  <si>
    <t>Oregon PERS CAFR 2015.pdf Pg No: 39-40</t>
  </si>
  <si>
    <t>Oregon PERS CAFR 2016.pdf Pg No: 45-46</t>
  </si>
  <si>
    <t>Oregon PERS CAFR 2017.pdf Pg No: 47-48</t>
  </si>
  <si>
    <t>Oregon PERS CAFR 2018.pdf Pg No: 47</t>
  </si>
  <si>
    <t>Oregon PERS CAFR 2014.pdf Pg No: 54</t>
  </si>
  <si>
    <t>Oregon PERS CAFR 2015.pdf Pg No: 56</t>
  </si>
  <si>
    <t>Oregon PERS CAFR 2016.pdf Pg No: 66</t>
  </si>
  <si>
    <t>Oregon PERS CAFR 2017.pdf Pg No: 67</t>
  </si>
  <si>
    <t>Oregon PERS CAFR 2018.pdf Pg No: 75</t>
  </si>
  <si>
    <t>2001, 2003</t>
  </si>
  <si>
    <t>Members - Tier One and Members - Tier One included</t>
  </si>
  <si>
    <t>Judge member contributions and Member service purchases included</t>
  </si>
  <si>
    <t>Includes Multnomah FD #10 Rate</t>
  </si>
  <si>
    <t xml:space="preserve">Includes UAL - PUC change rate </t>
  </si>
  <si>
    <t>Tier 1/Tier 2 (Pre-Rate &amp; Post Rate Collar): 0.02%</t>
  </si>
  <si>
    <t>Tier 1/Tier 2 (Pre-Rate &amp; Post Rate Collar):7.39%; OPSRP: -0.04%</t>
  </si>
  <si>
    <t>Tier 1/Tier 2 (Pre-Rate &amp; Post Rate Collar): 12.69%; OPSRP: 6.19%</t>
  </si>
  <si>
    <t>2004, 2006-2007</t>
  </si>
  <si>
    <t xml:space="preserve">Value arrived by deducting Member Normal Cost from Total Tier 1/ Tier 2 and OPSRP pension rate. </t>
  </si>
  <si>
    <t>Tier 1/Tier 2 (Pre-Rate &amp; Post Rate Collar): 6.19%;  OPSRP: 6.05%</t>
  </si>
  <si>
    <t>Tier 1/Tier 2 (Pre-Rate &amp; Post Rate Collar):5.94%; OPSRP: -0.08%</t>
  </si>
  <si>
    <t>Tier 1/Tier 2 (Pre-Rate &amp; Post Rate Collar): 12.13%; OPSRP: 5.97%</t>
  </si>
  <si>
    <t>Tier 1/Tier 2 - Pre-Rate Collar:14.22%, Post Rate Collar: 10.13%; OPSRP - Pre-Rate &amp; Post Rate Collar: 0.07%</t>
  </si>
  <si>
    <t>Tier 1/Tier 2 (Pre-Rate &amp; Post Rate Collar): 7.96%; OPSRP - Pre-Rate &amp; Post Rate Collar: 6.16%</t>
  </si>
  <si>
    <t>Tier 1/Tier 2 - Pre-Rate Collar:11.55%, Post Rate Collar: 7.57%; OPSRP - Pre-Rate &amp; Post Rate Collar: 0.08%</t>
  </si>
  <si>
    <t>Tier 1/Tier 2 - Pre-Rate Collar: 20.25%, Post Rate Collar: 16.27%; OPSRP - Pre-Rate &amp; Post Rate Collar: 6.48%</t>
  </si>
  <si>
    <t>Tier 1/Tier 2 (Pre-Rate &amp; Post Rate Collar): 8.82%; OPSRP - Pre-Rate &amp; Post Rate Collar: 6.35%</t>
  </si>
  <si>
    <t>Tier 1/Tier 2 - Pre-Rate Collar:11.39%, Post Rate Collar: 11.01%; OPSRP - Pre-Rate &amp; Post Rate Collar: 0.10%</t>
  </si>
  <si>
    <t>Tier 1/Tier 2 - Pre-Rate Collar: 20.21%, Post Rate Collar: 19.83%; OPSRP - Pre-Rate &amp; Post Rate Collar: 6.45%</t>
  </si>
  <si>
    <t>Tier 1/Tier 2 (Pre-Rate &amp; Post Rate Collar): 9.15%; OPSRP - Pre-Rate &amp; Post Rate Collar: 6.56%</t>
  </si>
  <si>
    <t>Tier 1/Tier 2 - Pre-Rate Collar:14.60%, Post Rate Collar: 12.30%; OPSRP - Pre-Rate &amp; Post Rate Collar: 0.15%</t>
  </si>
  <si>
    <t>Tier 1/Tier 2 - Pre-Rate Collar: 23.75%, Post Rate Collar: 21.45%; OPSRP - Pre-Rate &amp; Post Rate Collar: 6.71%</t>
  </si>
  <si>
    <t>Tier 1/Tier 2 (Pre-Rate &amp; Post Rate Collar): 0.03%</t>
  </si>
  <si>
    <t>Tier 1/Tier 2 (Pre-Rate &amp; Post Rate Collar): 13.59%; OPSRP - Pre-Rate &amp; Post Rate Collar: 7.81%</t>
  </si>
  <si>
    <t>Tier 1/Tier 2 - Pre-Rate Collar:8.73%, Post Rate Collar: 6.56%; OPSRP - Pre-Rate &amp; Post Rate Collar: 0.60%</t>
  </si>
  <si>
    <t>Tier 1/Tier 2 (Pre-Rate &amp; Post Rate Collar): 13.34%; OPSRP - Pre-Rate &amp; Post Rate Collar: 7.79%</t>
  </si>
  <si>
    <t>Tier 1/Tier 2 - Pre-Rate Collar:6.44%, Post Rate Collar: 5.72%; OPSRP - Pre-Rate &amp; Post Rate Collar: 0.61%</t>
  </si>
  <si>
    <t>Tier 1/Tier 2 (Pre-Rate &amp; Post Rate Collar): 15.57%; OPSRP - Pre-Rate &amp; Post Rate Collar: 8.63%</t>
  </si>
  <si>
    <t>Tier 1/Tier 2 - Pre-Rate Collar:13.49%, Post Rate Collar: 7.24%; OPSRP - Pre-Rate &amp; Post Rate Collar: 1.01%</t>
  </si>
  <si>
    <t>Tier 1/Tier 2 (Pre-Rate &amp; Post Rate Collar): 15.23%; OPSRP - Pre-Rate &amp; Post Rate Collar: 8.56%</t>
  </si>
  <si>
    <t>Tier 1/Tier 2 - Pre-Rate Collar:15.83%, Post Rate Collar: 7.60%; OPSRP - Pre-Rate &amp; Post Rate Collar: 1.27%</t>
  </si>
  <si>
    <t>Tier 1/Tier 2 - Pre-Rate Collar: 31.06%, Post Rate Collar: 22.83%; OPSRP - Pre-Rate &amp; Post Rate Collar: 9.83%</t>
  </si>
  <si>
    <t>Tier 1/Tier 2 (Pre-Rate &amp; Post Rate Collar): 0.04%</t>
  </si>
  <si>
    <t>Tier 1/Tier 2 (Pre-Rate &amp; Post Rate Collar): 15.58%; OPSRP - Pre-Rate &amp; Post Rate Collar: 9.03%</t>
  </si>
  <si>
    <t>Tier 1/Tier 2 - Pre-Rate Collar:17.76%, Post Rate Collar: 12.47%; OPSRP - Pre-Rate &amp; Post Rate Collar: 1.56%</t>
  </si>
  <si>
    <t>Tier 1/Tier 2 - Pre-Rate Collar: 33.34%, Post Rate Collar: 28.05%; OPSRP - Pre-Rate &amp; Post Rate Collar: 10.59%</t>
  </si>
  <si>
    <t>Tier 1/Tier 2 (Pre-Rate &amp; Post Rate Collar): 15.42%; OPSRP - Pre-Rate &amp; Post Rate Collar: 8.92%</t>
  </si>
  <si>
    <t>Tier 1/Tier 2 - Pre-Rate Collar:15.99%, Post Rate Collar: 12.00%; OPSRP - Pre-Rate &amp; Post Rate Collar: 1.45%</t>
  </si>
  <si>
    <t>Tier 1/Tier 2 - Pre-Rate Collar: 31.41%, Post Rate Collar: 27.42%; OPSRP - Pre-Rate &amp; Post Rate Collar: 10.37%</t>
  </si>
  <si>
    <t>Tier 1/Tier 2 (Pre-Rate &amp; Post Rate Collar): 15.33%; OPSRP - Pre-Rate &amp; Post Rate Collar: 9.22%</t>
  </si>
  <si>
    <t>Tier 1/Tier 2 - Pre-Rate Collar:15.18%, Post Rate Collar: 14.99%; OPSRP - Pre-Rate &amp; Post Rate Collar: 1.76%</t>
  </si>
  <si>
    <t>Tier 1/Tier 2 - Pre-Rate Collar: 30.51%, Post Rate Collar: 30.32%; OPSRP - Pre-Rate &amp; Post Rate Collar: 10.98%</t>
  </si>
  <si>
    <t>Uncollared/Collared total OPSRP pension rate taken here</t>
  </si>
  <si>
    <t>Tier 1/Tier 2 (Pre-Rate &amp; Post Rate Collar): 0.05%</t>
  </si>
  <si>
    <t>Tier 1/Tier 2 (Pre-Rate &amp; Post Rate Collar): 15.05%; OPSRP - Pre-Rate &amp; Post Rate Collar: 9.16%</t>
  </si>
  <si>
    <t>Tier 1/Tier 2 - Pre-Rate Collar:12.95%, Post Rate Collar: 12.86%; OPSRP - Pre-Rate &amp; Post Rate Collar: 1.69%</t>
  </si>
  <si>
    <t>Tier 1/Tier 2 - Pre-Rate Collar: 28.00%, Post Rate Collar: 27.91%; OPSRP - Pre-Rate &amp; Post Rate Collar: 10.85%</t>
  </si>
  <si>
    <t>Tier 1/Tier 2 (Pre-Rate &amp; Post Rate Collar): 5.30%;  OPSRP: 6.23%</t>
  </si>
  <si>
    <t>Tier 1/Tier 2 - Pre-Rate Collar: 22.18%, Post Rate Collar: 18.09%; OPSRP - Pre-Rate &amp; Post Rate Collar: 6.23%</t>
  </si>
  <si>
    <t>Tier 1/Tier 2 (Pre-Rate &amp; Post Rate Collar): 8.70%; OPSRP - Pre-Rate &amp; Post Rate Collar: 6.40%</t>
  </si>
  <si>
    <t>Tier 1/Tier 2 - Pre-Rate Collar: 22.32%, Post Rate Collar: 20.15%; OPSRP - Pre-Rate &amp; Post Rate Collar: 8.41%</t>
  </si>
  <si>
    <t>Tier 1/Tier 2 - Pre-Rate Collar: 19.78%, Post Rate Collar: 19.06%; OPSRP - Pre-Rate &amp; Post Rate Collar: 8.40%</t>
  </si>
  <si>
    <t>Tier 1/Tier 2 - Pre-Rate Collar: 29.06%, Post Rate Collar: 22.81%; OPSRP - Pre-Rate &amp; Post Rate Collar: 9.64%</t>
  </si>
  <si>
    <t>Judges:7%, All Others:6%</t>
  </si>
  <si>
    <t>Judges:7%, All Others: None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</si>
  <si>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</si>
  <si>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</si>
  <si>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</si>
  <si>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</si>
  <si>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</si>
  <si>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</si>
  <si>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</si>
  <si>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</si>
  <si>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</si>
  <si>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</si>
  <si>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</si>
  <si>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</si>
  <si>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</si>
  <si>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</si>
  <si>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</si>
  <si>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</si>
  <si>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</si>
  <si>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</si>
  <si>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</si>
  <si>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</si>
  <si>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</si>
  <si>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</si>
  <si>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</si>
  <si>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</si>
  <si>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</si>
  <si>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</si>
  <si>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</si>
  <si>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</si>
  <si>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</si>
  <si>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</si>
  <si>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</si>
  <si>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</si>
  <si>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Pg No 110</t>
  </si>
  <si>
    <t>Pg No 108-109</t>
  </si>
  <si>
    <t>Tier 1/Tier 2 - Pre-Rate Collar:14.24%, Post Rate Collar: 14.23%; OPSRP - Pre-Rate &amp; Post Rate Collar: 2.09%</t>
  </si>
  <si>
    <t>Oregon PERS CAFR 2020.pdf Pg No:78</t>
  </si>
  <si>
    <t>Oregon PERS CAFR 2020.pdf Pg No:84</t>
  </si>
  <si>
    <t>Oregon PERS CAFR 2020.pdf Pg No:83</t>
  </si>
  <si>
    <t>Oregon PERS GASB68 2020.pdf Pg No:1</t>
  </si>
  <si>
    <t>Oregon PERS CAFR 2020.pdf Pg No: 136</t>
  </si>
  <si>
    <t>Oregon PERS GASB68 2019.pdf Pg No:37</t>
  </si>
  <si>
    <t>Oregon PERS CAFR 2020.pdf Pg No:36</t>
  </si>
  <si>
    <t>Tier 1/Tier 2 (Pre-Rate &amp; Post Rate Collar): 16.49%; OPSRP - Pre-Rate &amp; Post Rate Collar: 10.57%</t>
  </si>
  <si>
    <t>Oregon PERS Valuation 2013.pdf Pg No. 74</t>
  </si>
  <si>
    <t>Oregon PERS Valuation 2014.pdf Pg No. 75</t>
  </si>
  <si>
    <t>Oregon PERS Valuation 2015.pdf Pg No. 77</t>
  </si>
  <si>
    <t>Oregon PERS Valuation 2016.pdf Pg No. 76</t>
  </si>
  <si>
    <t>Oregon PERS Valuation 2017.pdf Pg No. 78</t>
  </si>
  <si>
    <t>Oregon PERS Valuation 2018.pdf Pg No. 80</t>
  </si>
  <si>
    <t>Oregon PERS Valuation 2019.pdf Pg No. 79</t>
  </si>
  <si>
    <t>Salary increase: -0.59% to 4.44%</t>
  </si>
  <si>
    <t>Salary increase: -0.95% to 4.44%</t>
  </si>
  <si>
    <t>Salary increase: -0.94% to 4.44%</t>
  </si>
  <si>
    <t>Salary increase: -0.94% to 5.17%</t>
  </si>
  <si>
    <t>Salary increase: -1% to 5.13%</t>
  </si>
  <si>
    <t>Salary increase: -0.18% to 2.55%</t>
  </si>
  <si>
    <t>Salary increase: 0.13% to 2.55%</t>
  </si>
  <si>
    <t>Salary increase: 0% to 2.55%</t>
  </si>
  <si>
    <t>Salary increase: 0% to 2.5%</t>
  </si>
  <si>
    <t>Salary increase: 0.05% to 4.5%</t>
  </si>
  <si>
    <t>Salary increase: -0.59% to 5.13%</t>
  </si>
  <si>
    <t>Tier 1/Tier 2 - Pre-Rate Collar: 30.73%, Post Rate Collar: 30.72%; OPSRP - Pre-Rate &amp; Post Rate Collar: 12.66%</t>
  </si>
  <si>
    <t>Judges:7%, All Others: Tier 1/Tier 2 members contributed 2.5%, OPSRP: 0.75%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</si>
  <si>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</si>
  <si>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</si>
  <si>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</si>
  <si>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</si>
  <si>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</si>
  <si>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</si>
  <si>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</si>
  <si>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</si>
  <si>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</si>
  <si>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</si>
  <si>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</si>
  <si>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</si>
  <si>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</si>
  <si>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</si>
  <si>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</si>
  <si>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</si>
  <si>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</si>
  <si>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</si>
  <si>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</si>
  <si>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</si>
  <si>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</si>
  <si>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</si>
  <si>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</si>
  <si>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</si>
  <si>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</si>
  <si>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</si>
  <si>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</si>
  <si>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</si>
  <si>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</si>
  <si>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</si>
  <si>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</si>
  <si>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</si>
  <si>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</si>
  <si>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</si>
  <si>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</si>
  <si>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</si>
  <si>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</si>
  <si>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</si>
  <si>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</si>
  <si>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</si>
  <si>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</si>
  <si>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</si>
  <si>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</si>
  <si>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</si>
  <si>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</si>
  <si>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</si>
  <si>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</si>
  <si>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</si>
  <si>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</si>
  <si>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</si>
  <si>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</si>
  <si>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</si>
  <si>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</si>
  <si>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</si>
  <si>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</si>
  <si>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</si>
  <si>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</si>
  <si>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</si>
  <si>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</si>
  <si>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</si>
  <si>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</si>
  <si>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</si>
  <si>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</si>
  <si>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</si>
  <si>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</si>
  <si>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</si>
  <si>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</si>
  <si>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</si>
  <si>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</si>
  <si>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</si>
  <si>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</si>
  <si>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</si>
  <si>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</si>
  <si>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</si>
  <si>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</si>
  <si>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</si>
  <si>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</si>
  <si>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</si>
  <si>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</si>
  <si>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</si>
  <si>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</si>
  <si>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</si>
  <si>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</si>
  <si>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</si>
  <si>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</si>
  <si>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</si>
  <si>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</si>
  <si>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</si>
  <si>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</si>
  <si>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</si>
  <si>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</si>
  <si>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</si>
  <si>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</si>
  <si>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</si>
  <si>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</si>
  <si>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</si>
  <si>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</si>
  <si>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</si>
  <si>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</si>
  <si>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</si>
  <si>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</si>
  <si>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</si>
  <si>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</si>
  <si>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</si>
  <si>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</si>
  <si>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</si>
  <si>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</si>
  <si>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</si>
  <si>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</si>
  <si>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</si>
  <si>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</si>
  <si>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</si>
  <si>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</si>
  <si>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</si>
  <si>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</si>
  <si>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</si>
  <si>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</si>
  <si>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</si>
  <si>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</si>
  <si>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</si>
  <si>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</si>
  <si>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</si>
  <si>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</si>
  <si>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</si>
  <si>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</si>
  <si>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</si>
  <si>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</si>
  <si>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</si>
  <si>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</si>
  <si>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</si>
  <si>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</si>
  <si>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</si>
  <si>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</si>
  <si>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</si>
  <si>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</si>
  <si>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</si>
  <si>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</si>
  <si>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</si>
  <si>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</si>
  <si>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</si>
  <si>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</si>
  <si>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</si>
  <si>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</si>
  <si>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</si>
  <si>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</si>
  <si>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</si>
  <si>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</si>
  <si>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</si>
  <si>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</si>
  <si>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</si>
  <si>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</si>
  <si>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</si>
  <si>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</si>
  <si>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</si>
  <si>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</si>
  <si>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</si>
  <si>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</si>
  <si>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</si>
  <si>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</si>
  <si>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</si>
  <si>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</si>
  <si>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</si>
  <si>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</si>
  <si>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</si>
  <si>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</si>
  <si>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</si>
  <si>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</si>
  <si>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</si>
  <si>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</si>
  <si>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</si>
  <si>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</si>
  <si>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</si>
  <si>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</si>
  <si>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</si>
  <si>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</si>
  <si>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 xml:space="preserve"> </t>
  </si>
  <si>
    <t>Oregon PERS CAFR 2021.pdf Pg No:78</t>
  </si>
  <si>
    <t>Oregon PERS CAFR 2021.pdf Pg No:36</t>
  </si>
  <si>
    <t>Oregon PERS CAFR 2021.pdf Pg No:83</t>
  </si>
  <si>
    <t>Oregon PERS GASB68 2021.pdf Pg No:1</t>
  </si>
  <si>
    <t>Oregon PERS CAFR 2021.pdf Pg No:84</t>
  </si>
  <si>
    <t>Tier 1/Tier 2 (Pre-Rate &amp; Post Rate Collar): 16.04%; OPSRP - Pre-Rate &amp; Post Rate Collar: 10.47%</t>
  </si>
  <si>
    <t>Tier 1/Tier 2 (Pre-Rate &amp; Post Rate Collar): 0.06%</t>
  </si>
  <si>
    <t>Tier 1/Tier 2 - Pre-Rate Collar:10.05%, Post Rate Collar: 12.88%; OPSRP - Pre-Rate Collar:1.51%, Post Rate Collar: 1.69%</t>
  </si>
  <si>
    <t>Tier 1/Tier 2 - Pre-Rate Collar: 26.09%, Post Rate Collar: 28.92%; OPSRP - Pre-Rate Collar: 11.98%, Post Rate Collar: 12.16%</t>
  </si>
  <si>
    <t>Oregon PERS Valuation 2021.pdf Pg No: 44, 46, 54, 56</t>
  </si>
  <si>
    <t>Oregon PERS Valuation 2021.pdf Pg No:106</t>
  </si>
  <si>
    <t>Oregon PERS Valuation 2021.pdf Pg No:111</t>
  </si>
  <si>
    <t>Oregon PERS Valuation 2021.pdf Pg No:107</t>
  </si>
  <si>
    <t>Oregon PERS Valuation 2021.pdf Pg No:103</t>
  </si>
  <si>
    <t>Oregon PERS Valuation 2021.pdf Pg No:103, 114</t>
  </si>
  <si>
    <t>Oregon PERS Valuation 2021.pdf Pg No:102</t>
  </si>
  <si>
    <t>Oregon PERS Valuation 2021.pdf Pg No: 24</t>
  </si>
  <si>
    <t>Oregon PERS Valuation 2021.pdf Pg No: 20</t>
  </si>
  <si>
    <t>Oregon PERS Valuation 2021.pdf Pg No:81</t>
  </si>
  <si>
    <t>Oregon PERS Valuation 2021.pdf Pg No:37, 52</t>
  </si>
  <si>
    <t>Oregon PERS Valuation 2021.pdf Pg No:37</t>
  </si>
  <si>
    <t>Oregon PERS Valuation 2021.pdf Pg No: 79</t>
  </si>
  <si>
    <t>Oregon PERS CAFR 2019.pdf Pg No: 54</t>
  </si>
  <si>
    <t>Oregon PERS CAFR 2021.pdf Pg No: 54</t>
  </si>
  <si>
    <t>Oregon PERS Valuation 2020.pdf Pg No: 25</t>
  </si>
  <si>
    <t>2008 - 2011</t>
  </si>
  <si>
    <t>Oregon PERS CAFR 2014.pdf Pg No:58</t>
  </si>
  <si>
    <t>Oregon PERS CAFR 2014.pdf Pg No:57</t>
  </si>
  <si>
    <t>Oregon PERS CAFR 2014.pdf Pg No:54</t>
  </si>
  <si>
    <t>Oregon PERS CAFR 2015.pdf Pg No:56</t>
  </si>
  <si>
    <t>Oregon PERS CAFR 2015.pdf Pg No:62</t>
  </si>
  <si>
    <t>Oregon PERS CAFR 2015.pdf Pg No:61</t>
  </si>
  <si>
    <t>Oregon PERS CAFR 2015.pdf Pg No:57</t>
  </si>
  <si>
    <t>Oregon PERS CAFR 2016.pdf Pg No:68</t>
  </si>
  <si>
    <t>Oregon PERS CAFR 2016.pdf Pg No:69</t>
  </si>
  <si>
    <t>Oregon PERS CAFR 2016.pdf Pg No: 73</t>
  </si>
  <si>
    <t>Oregon PERS CAFR 2017.pdf Pg No: 75</t>
  </si>
  <si>
    <t>Oregon PERS CAFR 2019.pdf Pg No: 84</t>
  </si>
  <si>
    <t>Oregon PERS CAFR 2020.pdf Pg No: 80</t>
  </si>
  <si>
    <t>Oregon PERS CAFR 2020.pdf Pg No: 78</t>
  </si>
  <si>
    <t>Oregon PERS CAFR 2020.pdf Pg No: 84</t>
  </si>
  <si>
    <t>Oregon PERS Valuation 2020.pdf Pg No: 81</t>
  </si>
  <si>
    <t>Oregon PERS CAFR 2020.pdf Pg No: 42</t>
  </si>
  <si>
    <t>Oregon PERS CAFR 2021.pdf Pg No: 80</t>
  </si>
  <si>
    <t>Oregon PERS CAFR 2021.pdf Pg No: 84</t>
  </si>
  <si>
    <t>Oregon PERS Valuation 2021.pdf Pg No: 81</t>
  </si>
  <si>
    <t>Oregon PERS CAFR 2021.pdf Pg No: 42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</si>
  <si>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</si>
  <si>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</si>
  <si>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</si>
  <si>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</si>
  <si>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</si>
  <si>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</si>
  <si>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</si>
  <si>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</si>
  <si>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</si>
  <si>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</si>
  <si>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</si>
  <si>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</si>
  <si>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</si>
  <si>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</si>
  <si>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</si>
  <si>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</si>
  <si>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</si>
  <si>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</si>
  <si>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</si>
  <si>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</si>
  <si>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</si>
  <si>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</si>
  <si>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</si>
  <si>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</si>
  <si>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</si>
  <si>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</si>
  <si>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</si>
  <si>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</si>
  <si>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</si>
  <si>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</si>
  <si>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</si>
  <si>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</si>
  <si>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</si>
  <si>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</si>
  <si>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</si>
  <si>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</si>
  <si>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</si>
  <si>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</si>
  <si>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</si>
  <si>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</si>
  <si>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</si>
  <si>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</si>
  <si>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</si>
  <si>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</si>
  <si>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</si>
  <si>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</si>
  <si>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</si>
  <si>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</si>
  <si>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</si>
  <si>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</si>
  <si>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</si>
  <si>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</si>
  <si>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</si>
  <si>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</si>
  <si>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</si>
  <si>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</si>
  <si>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</si>
  <si>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</si>
  <si>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</si>
  <si>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</si>
  <si>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</si>
  <si>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</si>
  <si>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</si>
  <si>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</si>
  <si>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</si>
  <si>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</si>
  <si>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</si>
  <si>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</si>
  <si>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</si>
  <si>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</si>
  <si>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</si>
  <si>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</si>
  <si>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</si>
  <si>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</si>
  <si>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</si>
  <si>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</si>
  <si>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</si>
  <si>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</si>
  <si>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</si>
  <si>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</si>
  <si>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</si>
  <si>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</si>
  <si>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</si>
  <si>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</si>
  <si>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</si>
  <si>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</si>
  <si>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</si>
  <si>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</si>
  <si>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</si>
  <si>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</si>
  <si>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</si>
  <si>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</si>
  <si>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</si>
  <si>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</si>
  <si>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</si>
  <si>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</si>
  <si>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</si>
  <si>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</si>
  <si>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</si>
  <si>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</si>
  <si>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</si>
  <si>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</si>
  <si>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</si>
  <si>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</si>
  <si>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</si>
  <si>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</si>
  <si>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</si>
  <si>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</si>
  <si>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</si>
  <si>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</si>
  <si>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</si>
  <si>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</si>
  <si>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</si>
  <si>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</si>
  <si>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</si>
  <si>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</si>
  <si>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</si>
  <si>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</si>
  <si>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</si>
  <si>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</si>
  <si>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</si>
  <si>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</si>
  <si>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</si>
  <si>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</si>
  <si>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</si>
  <si>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</si>
  <si>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</si>
  <si>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</si>
  <si>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</si>
  <si>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</si>
  <si>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</si>
  <si>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</si>
  <si>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</si>
  <si>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</si>
  <si>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</si>
  <si>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</si>
  <si>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</si>
  <si>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</si>
  <si>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</si>
  <si>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</si>
  <si>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</si>
  <si>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</si>
  <si>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</si>
  <si>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</si>
  <si>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</si>
  <si>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</si>
  <si>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</si>
  <si>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</si>
  <si>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</si>
  <si>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</si>
  <si>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</si>
  <si>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</si>
  <si>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</si>
  <si>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</si>
  <si>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</si>
  <si>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</si>
  <si>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</si>
  <si>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</si>
  <si>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</si>
  <si>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</si>
  <si>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</si>
  <si>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</si>
  <si>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</si>
  <si>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</si>
  <si>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</si>
  <si>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</si>
  <si>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</si>
  <si>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</si>
  <si>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</si>
  <si>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</si>
  <si>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</si>
  <si>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</si>
  <si>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</si>
  <si>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</si>
  <si>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</si>
  <si>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</si>
  <si>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</si>
  <si>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</si>
  <si>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</si>
  <si>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</si>
  <si>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Oregon PERS CAFR 2022.pdf Pg No:78</t>
  </si>
  <si>
    <t>Retirees and Inactive members: Receiving benefits</t>
  </si>
  <si>
    <t>Retirees and Inactive members: Not receiving benefits</t>
  </si>
  <si>
    <t>Oregon PERS CAFR 2022.pdf Pg No:36</t>
  </si>
  <si>
    <t>Oregon PERS CAFR 2022.pdf Pg No:83</t>
  </si>
  <si>
    <t>Oregon PERS CAFR 2022.pdf Pg No:84</t>
  </si>
  <si>
    <t>Oregon PERS GASB68 2022.pdf Pg No:1</t>
  </si>
  <si>
    <t>Tier 1/Tier 2 (Pre-Rate &amp; Post Rate Collar): 16.67%; OPSRP - Pre-Rate &amp; Post Rate Collar: 11.10%</t>
  </si>
  <si>
    <t>Tier 1/Tier 2 - Pre-Rate Collar:12.59%, Post Rate Collar: 13.20%; OPSRP - Pre-Rate &amp; Post Rate Collar: 2.62%</t>
  </si>
  <si>
    <t>Oregon PERS Valuation 2022.pdf Pg No: 46, 48, 55, 56</t>
  </si>
  <si>
    <t>Oregon PERS CAFR 2022.pdf Pg No: 56</t>
  </si>
  <si>
    <t>Oregon PERS Valuation 2022.pdf Pg No:107</t>
  </si>
  <si>
    <t>Salary increase: 0.06% to 6.12%</t>
  </si>
  <si>
    <t>Oregon PERS Valuation 2022.pdf Pg No:113</t>
  </si>
  <si>
    <t>Pg No 112</t>
  </si>
  <si>
    <t>Pg No 109-110</t>
  </si>
  <si>
    <t>Oregon PERS Valuation 2022.pdf Pg No:108</t>
  </si>
  <si>
    <t>Oregon PERS Valuation 2022.pdf Pg No:104</t>
  </si>
  <si>
    <t>Oregon PERS Valuation 2022.pdf Pg No:104, 116</t>
  </si>
  <si>
    <t>Oregon PERS Valuation 2022.pdf Pg No:103</t>
  </si>
  <si>
    <t>Oregon PERS Valuation 2022.pdf Pg No: 26</t>
  </si>
  <si>
    <t>Oregon PERS Valuation 2022.pdf Pg No: 21</t>
  </si>
  <si>
    <t>Oregon PERS Valuation 2022.pdf Pg No: 82</t>
  </si>
  <si>
    <t>Oregon PERS Valuation 2022.pdf Pg No:38, 53</t>
  </si>
  <si>
    <t>The difference between UAL as of 12/31/04 and UAL as of 12/31/03 is considered here</t>
  </si>
  <si>
    <t>Oregon PERS Valuation 2022.pdf Pg No:39</t>
  </si>
  <si>
    <t>Oregon PERS Valuation 2022.pdf Pg No:38, 54</t>
  </si>
  <si>
    <t>Tier 1/Tier 2 - Pre-Rate Collar: 29.26%, Post Rate Collar: 29.87%; OPSRP - Pre-Rate &amp; Post Rate Collar: 13.72%</t>
  </si>
  <si>
    <t>Oregon PERS Valuation 2001.pdf Pg No: 08</t>
  </si>
  <si>
    <t>Oregon PERS Valuation 2001.pdf Pg No: 17</t>
  </si>
  <si>
    <t>Oregon PERS Valuation 2001.pdf Pg No: 87</t>
  </si>
  <si>
    <t>Oregon PERS Valuation 2001.pdf Pg No: 88</t>
  </si>
  <si>
    <t>Oregon PERS Valuation 2001.pdf Pg No: 92</t>
  </si>
  <si>
    <t>Oregon PERS Valuation 2001.pdf Pg No: 93,94</t>
  </si>
  <si>
    <t>Oregon PERS Valuation 2001.pdf Pg No: 97</t>
  </si>
  <si>
    <t>Oregon PERS Valuation 2001.pdf Pg No: 102</t>
  </si>
  <si>
    <t>Oregon PERS Valuation 2001.pdf Pg No: 98</t>
  </si>
  <si>
    <t>Oregon PERS Valuation 2004.pdf Pg No: 48</t>
  </si>
  <si>
    <t>Oregon PERS Valuation 2002.pdf Pg No: 03</t>
  </si>
  <si>
    <t>Oregon PERS Valuation 2002.pdf Pg No: 5</t>
  </si>
  <si>
    <t>Oregon PERS Valuation 2003.pdf Pg No: 09</t>
  </si>
  <si>
    <t>Oregon PERS Valuation 2003.pdf Pg No: 19</t>
  </si>
  <si>
    <t>Oregon PERS Valuation 2003.pdf Pg No: 41</t>
  </si>
  <si>
    <t>Oregon PERS Valuation 2003.pdf Pg No: 42</t>
  </si>
  <si>
    <t>Oregon PERS Valuation 2003.pdf Pg No: 46</t>
  </si>
  <si>
    <t>Oregon PERS Valuation 2003.pdf Pg No: 47,48</t>
  </si>
  <si>
    <t>Oregon PERS Valuation 2003.pdf Pg No: 52</t>
  </si>
  <si>
    <t>Oregon PERS Valuation 2003.pdf Pg No: 60</t>
  </si>
  <si>
    <t>Oregon PERS Valuation 2003.pdf Pg No: 58</t>
  </si>
  <si>
    <t>Oregon PERS Valuation 2003.pdf Pg No: 53</t>
  </si>
  <si>
    <t>Oregon PERS Valuation 2003.pdf Pg No: 54</t>
  </si>
  <si>
    <t>Oregon PERS Valuation 2004.pdf Pg No: 3</t>
  </si>
  <si>
    <t>Oregon PERS Valuation 2004.pdf Pg No: 42</t>
  </si>
  <si>
    <t>Oregon PERS Valuation 2004.pdf Pg No: 17</t>
  </si>
  <si>
    <t>Oregon PERS Valuation 2004.pdf Pg No: 79</t>
  </si>
  <si>
    <t>Oregon PERS Valuation 2004.pdf Pg No: 80</t>
  </si>
  <si>
    <t>Oregon PERS Valuation 2004.pdf Pg No: 82</t>
  </si>
  <si>
    <t>Oregon PERS Valuation 2004.pdf Pg No: 83</t>
  </si>
  <si>
    <t>Oregon PERS Valuation 2004.pdf Pg No: 67</t>
  </si>
  <si>
    <t>Oregon PERS Valuation 2004.pdf Pg No: 75</t>
  </si>
  <si>
    <t>Oregon PERS Valuation 2004.pdf Pg No: 68</t>
  </si>
  <si>
    <t>Oregon PERS Valuation 2004.pdf Pg No: 66</t>
  </si>
  <si>
    <t>Oregon PERS Valuation 2004.pdf Pg No: 65</t>
  </si>
  <si>
    <t>Oregon PERS Valuation 2004.pdf Pg No: 27</t>
  </si>
  <si>
    <t>Oregon PERS Valuation 2005.pdf Pg No: 3</t>
  </si>
  <si>
    <t>Oregon PERS Valuation 2005.pdf Pg No: 28</t>
  </si>
  <si>
    <t>Oregon PERS Valuation 2005.pdf Pg No: 29</t>
  </si>
  <si>
    <t>Oregon PERS Valuation 2005.pdf Pg No: 22</t>
  </si>
  <si>
    <t>Oregon PERS Valuation 2005.pdf Pg No: 26</t>
  </si>
  <si>
    <t>Oregon PERS Valuation 2005.pdf Pg No: 23</t>
  </si>
  <si>
    <t>Oregon PERS Valuation 2005.pdf Pg No: 21</t>
  </si>
  <si>
    <t>Oregon PERS Valuation 2006.pdf Pg No: 63</t>
  </si>
  <si>
    <t>Oregon PERS Valuation 2006.pdf Pg No: 39, 41, 48</t>
  </si>
  <si>
    <t>Oregon PERS Valuation 2006.pdf Pg No: 19</t>
  </si>
  <si>
    <t>Oregon PERS Valuation 2006.pdf Pg No: 94</t>
  </si>
  <si>
    <t>Oregon PERS Valuation 2006.pdf Pg No: 94-95,99</t>
  </si>
  <si>
    <t>Oregon PERS Valuation 2006.pdf Pg No: 97,100</t>
  </si>
  <si>
    <t>Oregon PERS Valuation 2006.pdf Pg No: 97,98</t>
  </si>
  <si>
    <t>Oregon PERS Valuation 2006.pdf Pg No: 65</t>
  </si>
  <si>
    <t>Oregon PERS Valuation 2006.pdf Pg No: 89</t>
  </si>
  <si>
    <t>Oregon PERS Valuation 2006.pdf Pg No: 84</t>
  </si>
  <si>
    <t>Oregon PERS Valuation 2006.pdf Pg No: 13</t>
  </si>
  <si>
    <t>Oregon PERS Valuation 2006.pdf Pg No: 32,46</t>
  </si>
  <si>
    <t>Oregon PERS Valuation 2006.pdf Pg No: 32</t>
  </si>
  <si>
    <t>Oregon PERS Valuation 2007.pdf Pg No: 5</t>
  </si>
  <si>
    <t>Oregon PERS Valuation 2007.pdf Pg No: 42, 44, 51</t>
  </si>
  <si>
    <t>Oregon PERS Valuation 2007.pdf Pg No: 22</t>
  </si>
  <si>
    <t>Oregon PERS Valuation 2007.pdf Pg No: 101</t>
  </si>
  <si>
    <t>Oregon PERS Valuation 2007.pdf Pg No: 101-102,106</t>
  </si>
  <si>
    <t>Oregon PERS Valuation 2007.pdf Pg No: 104,107</t>
  </si>
  <si>
    <t>Oregon PERS Valuation 2007.pdf Pg No: 104,105</t>
  </si>
  <si>
    <t>Oregon PERS Valuation 2007.pdf Pg No: 70</t>
  </si>
  <si>
    <t>Oregon PERS Valuation 2007.pdf Pg No: 94</t>
  </si>
  <si>
    <t>Oregon PERS Valuation 2007.pdf Pg No: 89</t>
  </si>
  <si>
    <t>Oregon PERS Valuation 2007.pdf Pg No: 16</t>
  </si>
  <si>
    <t>Oregon PERS Valuation 2007.pdf Pg No: 68</t>
  </si>
  <si>
    <t>Oregon PERS Valuation 2007.pdf Pg No: 35,49</t>
  </si>
  <si>
    <t>Oregon PERS Valuation 2007.pdf Pg No: 35</t>
  </si>
  <si>
    <t>Oregon PERS Valuation 2008.pdf Pg No: 41, 43, 51, 53</t>
  </si>
  <si>
    <t>Oregon PERS Valuation 2008.pdf Pg No: 21</t>
  </si>
  <si>
    <t>Oregon PERS Valuation 2008.pdf Pg No: 101</t>
  </si>
  <si>
    <t>Oregon PERS Valuation 2008.pdf Pg No: 101-102,106</t>
  </si>
  <si>
    <t>Oregon PERS Valuation 2008.pdf Pg No: 104,107</t>
  </si>
  <si>
    <t>Oregon PERS Valuation 2008.pdf Pg No: 104,105</t>
  </si>
  <si>
    <t>Oregon PERS Valuation 2008.pdf Pg No: 70</t>
  </si>
  <si>
    <t>Oregon PERS Valuation 2008.pdf Pg No: 94</t>
  </si>
  <si>
    <t>Oregon PERS Valuation 2008.pdf Pg No: 89</t>
  </si>
  <si>
    <t>Oregon PERS Valuation 2008.pdf Pg No: 15</t>
  </si>
  <si>
    <t>Oregon PERS Valuation 2008.pdf Pg No: 68</t>
  </si>
  <si>
    <t>Oregon PERS Valuation 2008.pdf Pg No: 34,49</t>
  </si>
  <si>
    <t>Oregon PERS Valuation 2008.pdf Pg No: 34</t>
  </si>
  <si>
    <t>Oregon PERS Valuation 2009.pdf Pg No: 5</t>
  </si>
  <si>
    <t>Oregon PERS Valuation 2009.pdf Pg No: 47, 49, 57, 59</t>
  </si>
  <si>
    <t>Oregon PERS Valuation 2009.pdf Pg No: 26</t>
  </si>
  <si>
    <t>Oregon PERS Valuation 2009.pdf Pg No: 113</t>
  </si>
  <si>
    <t>Oregon PERS Valuation 2009.pdf Pg No: 113-114,119</t>
  </si>
  <si>
    <t>Oregon PERS Valuation 2009.pdf Pg No: 116,120</t>
  </si>
  <si>
    <t>Oregon PERS Valuation 2009.pdf Pg No: 117,118</t>
  </si>
  <si>
    <t>Oregon PERS Valuation 2009.pdf Pg No: 78</t>
  </si>
  <si>
    <t>Oregon PERS Valuation 2009.pdf Pg No: 105</t>
  </si>
  <si>
    <t>Oregon PERS Valuation 2009.pdf Pg No: 100</t>
  </si>
  <si>
    <t>Oregon PERS Valuation 2009.pdf Pg No: 17</t>
  </si>
  <si>
    <t>Oregon PERS Valuation 2009.pdf Pg No: 76</t>
  </si>
  <si>
    <t>Oregon PERS Valuation 2009.pdf Pg No: 40,55</t>
  </si>
  <si>
    <t>Oregon PERS Valuation 2009.pdf Pg No: 40</t>
  </si>
  <si>
    <t>Oregon PERS Valuation 2010.pdf Pg No: 47, 49, 56, 57</t>
  </si>
  <si>
    <t>Oregon PERS Valuation 2010.pdf Pg No: 26</t>
  </si>
  <si>
    <t>Oregon PERS Valuation 2010.pdf Pg No: 105</t>
  </si>
  <si>
    <t>Oregon PERS Valuation 2010.pdf Pg No: 106-107,112</t>
  </si>
  <si>
    <t>Oregon PERS Valuation 2010.pdf Pg No: 109,113</t>
  </si>
  <si>
    <t>Oregon PERS Valuation 2010.pdf Pg No: 110,111</t>
  </si>
  <si>
    <t>Oregon PERS Valuation 2010.pdf Pg No: 77</t>
  </si>
  <si>
    <t>Oregon PERS Valuation 2010.pdf Pg No: 100</t>
  </si>
  <si>
    <t>Oregon PERS Valuation 2010.pdf Pg No: 96</t>
  </si>
  <si>
    <t>Oregon PERS Valuation 2010.pdf Pg No: 17</t>
  </si>
  <si>
    <t>Oregon PERS Valuation 2010.pdf Pg No: 75</t>
  </si>
  <si>
    <t>Oregon PERS Valuation 2010.pdf Pg No: 40,54</t>
  </si>
  <si>
    <t>Oregon PERS Valuation 2010.pdf Pg No: 40</t>
  </si>
  <si>
    <t>Oregon PERS Valuation 2011.pdf Pg No: 6</t>
  </si>
  <si>
    <t>Oregon PERS Valuation 2011.pdf Pg No: 42, 44, 51, 52</t>
  </si>
  <si>
    <t>Oregon PERS Valuation 2011.pdf Pg No: 20</t>
  </si>
  <si>
    <t>Oregon PERS Valuation 2011.pdf Pg No: 101</t>
  </si>
  <si>
    <t>Oregon PERS Valuation 2011.pdf Pg No: 102-103,108</t>
  </si>
  <si>
    <t>Oregon PERS Valuation 2011.pdf Pg No: 105,109</t>
  </si>
  <si>
    <t>Oregon PERS Valuation 2011.pdf Pg No: 106,107</t>
  </si>
  <si>
    <t>Oregon PERS Valuation 2011.pdf Pg No: 72</t>
  </si>
  <si>
    <t>Oregon PERS Valuation 2011.pdf Pg No: 95</t>
  </si>
  <si>
    <t>Oregon PERS Valuation 2011.pdf Pg No: 91</t>
  </si>
  <si>
    <t>Oregon PERS Valuation 2011.pdf Pg No: 16</t>
  </si>
  <si>
    <t>Oregon PERS Valuation 2011.pdf Pg No: 70</t>
  </si>
  <si>
    <t>Oregon PERS Valuation 2011.pdf Pg No: 35,49</t>
  </si>
  <si>
    <t>Oregon PERS Valuation 2011.pdf Pg No: 35</t>
  </si>
  <si>
    <t>Oregon PERS Valuation 2012.pdf Pg No: 43, 45, 52, 53</t>
  </si>
  <si>
    <t>Oregon PERS Valuation 2012.pdf Pg No: 22</t>
  </si>
  <si>
    <t>Oregon PERS Valuation 2012.pdf Pg No: 102</t>
  </si>
  <si>
    <t>Oregon PERS Valuation 2012.pdf Pg No: 103-104,110</t>
  </si>
  <si>
    <t>Oregon PERS Valuation 2012.pdf Pg No: 106, 111</t>
  </si>
  <si>
    <t>Oregon PERS Valuation 2012.pdf Pg No: 107,108</t>
  </si>
  <si>
    <t>Oregon PERS Valuation 2012.pdf Pg No: 73</t>
  </si>
  <si>
    <t>Oregon PERS Valuation 2012.pdf Pg No: 96</t>
  </si>
  <si>
    <t>Oregon PERS Valuation 2012.pdf Pg No: 92</t>
  </si>
  <si>
    <t>Oregon PERS Valuation 2012.pdf Pg No: 17</t>
  </si>
  <si>
    <t>Oregon PERS Valuation 2012.pdf Pg No: 71</t>
  </si>
  <si>
    <t>Oregon PERS Valuation 2012.pdf Pg No: 36,50</t>
  </si>
  <si>
    <t>Oregon PERS Valuation 2012.pdf Pg No: 36</t>
  </si>
  <si>
    <t>Oregon PERS Valuation 2013.pdf Pg No: 7</t>
  </si>
  <si>
    <t>Oregon PERS Valuation 2013.pdf Pg No: 43, 45, 52, 53</t>
  </si>
  <si>
    <t>Oregon PERS Valuation 2013.pdf Pg No: 21</t>
  </si>
  <si>
    <t>Oregon PERS Valuation 2013.pdf Pg No: 104</t>
  </si>
  <si>
    <t>Oregon PERS Valuation 2013.pdf Pg No: 105-106,111</t>
  </si>
  <si>
    <t>Oregon PERS Valuation 2013.pdf Pg No: 108,112</t>
  </si>
  <si>
    <t>Oregon PERS Valuation 2013.pdf Pg No: 109,110</t>
  </si>
  <si>
    <t>Oregon PERS Valuation 2013.pdf Pg No: 94</t>
  </si>
  <si>
    <t>Oregon PERS Valuation 2013.pdf Pg No: 99</t>
  </si>
  <si>
    <t>Oregon PERS Valuation 2013.pdf Pg No: 95</t>
  </si>
  <si>
    <t>Oregon PERS Valuation 2013.pdf Pg No: 92</t>
  </si>
  <si>
    <t>Oregon PERS Valuation 2013.pdf Pg No: 92, 101</t>
  </si>
  <si>
    <t>Oregon PERS Valuation 2013.pdf Pg No: 17</t>
  </si>
  <si>
    <t>Oregon PERS Valuation 2013.pdf Pg No: 74</t>
  </si>
  <si>
    <t>Oregon PERS Valuation 2013.pdf Pg No: 36,50</t>
  </si>
  <si>
    <t>Oregon PERS Valuation 2013.pdf Pg No: 36</t>
  </si>
  <si>
    <t>Oregon PERS Valuation 2014.pdf Pg No: 43, 45, 52, 53</t>
  </si>
  <si>
    <t>Oregon PERS Valuation 2014.pdf Pg No: 22</t>
  </si>
  <si>
    <t>Oregon PERS Valuation 2014.pdf Pg No: 107</t>
  </si>
  <si>
    <t>Oregon PERS Valuation 2014.pdf Pg No: 108-109,114</t>
  </si>
  <si>
    <t>Oregon PERS Valuation 2014.pdf Pg No: 111,115</t>
  </si>
  <si>
    <t>Oregon PERS Valuation 2014.pdf Pg No: 112,113</t>
  </si>
  <si>
    <t>Oregon PERS Valuation 2014.pdf Pg No: 95</t>
  </si>
  <si>
    <t>Oregon PERS Valuation 2014.pdf Pg No: 100</t>
  </si>
  <si>
    <t>Oregon PERS Valuation 2014.pdf Pg No: 96</t>
  </si>
  <si>
    <t>Oregon PERS Valuation 2014.pdf Pg No: 93</t>
  </si>
  <si>
    <t>Oregon PERS Valuation 2014.pdf Pg No: 93, 102</t>
  </si>
  <si>
    <t>Oregon PERS Valuation 2014.pdf Pg No: 17</t>
  </si>
  <si>
    <t>Oregon PERS Valuation 2014.pdf Pg No: 75</t>
  </si>
  <si>
    <t>Oregon PERS Valuation 2014.pdf Pg No: 36,50</t>
  </si>
  <si>
    <t>Oregon PERS Valuation 2014.pdf Pg No: 36</t>
  </si>
  <si>
    <t>Oregon PERS Valuation 2015.pdf Pg No: 8</t>
  </si>
  <si>
    <t>Oregon PERS Valuation 2015.pdf Pg No: 44, 46, 54, 55</t>
  </si>
  <si>
    <t>Oregon PERS Valuation 2015.pdf Pg No: 23</t>
  </si>
  <si>
    <t>Oregon PERS Valuation 2015.pdf Pg No: 112</t>
  </si>
  <si>
    <t>Oregon PERS Valuation 2015.pdf Pg No: 113-114,119</t>
  </si>
  <si>
    <t>Oregon PERS Valuation 2015.pdf Pg No: 116,120</t>
  </si>
  <si>
    <t>Oregon PERS Valuation 2015.pdf Pg No: 117,118</t>
  </si>
  <si>
    <t>Oregon PERS Valuation 2015.pdf Pg No: 102</t>
  </si>
  <si>
    <t>Oregon PERS Valuation 2015.pdf Pg No: 107</t>
  </si>
  <si>
    <t>Oregon PERS Valuation 2015.pdf Pg No: 103</t>
  </si>
  <si>
    <t>Oregon PERS Valuation 2015.pdf Pg No: 100</t>
  </si>
  <si>
    <t>Oregon PERS Valuation 2015.pdf Pg No: 100, 109</t>
  </si>
  <si>
    <t>Oregon PERS Valuation 2015.pdf Pg No: 19</t>
  </si>
  <si>
    <t>Oregon PERS Valuation 2015.pdf Pg No: 77</t>
  </si>
  <si>
    <t>Oregon PERS Valuation 2015.pdf Pg No: 37,52</t>
  </si>
  <si>
    <t>Oregon PERS Valuation 2015.pdf Pg No: 37</t>
  </si>
  <si>
    <t>Oregon PERS Valuation 2016.pdf Pg No: 42, 44, 52, 53</t>
  </si>
  <si>
    <t>Oregon PERS Valuation 2016.pdf Pg No: 22</t>
  </si>
  <si>
    <t>Oregon PERS Valuation 2016.pdf Pg No: 110</t>
  </si>
  <si>
    <t>Oregon PERS Valuation 2016.pdf Pg No: 111-112,117</t>
  </si>
  <si>
    <t>Oregon PERS Valuation 2016.pdf Pg No: 114,118</t>
  </si>
  <si>
    <t>Oregon PERS Valuation 2016.pdf Pg No: 115,116</t>
  </si>
  <si>
    <t>Oregon PERS Valuation 2016.pdf Pg No: 99</t>
  </si>
  <si>
    <t>Oregon PERS Valuation 2016.pdf Pg No: 104</t>
  </si>
  <si>
    <t>Oregon PERS Valuation 2016.pdf Pg No: 100</t>
  </si>
  <si>
    <t>Oregon PERS Valuation 2016.pdf Pg No: 97</t>
  </si>
  <si>
    <t>Oregon PERS Valuation 2016.pdf Pg No: 97, 106</t>
  </si>
  <si>
    <t>Oregon PERS Valuation 2016.pdf Pg No: 18</t>
  </si>
  <si>
    <t>Oregon PERS Valuation 2016.pdf Pg No: 76</t>
  </si>
  <si>
    <t>Oregon PERS Valuation 2016.pdf Pg No: 35,50</t>
  </si>
  <si>
    <t>Oregon PERS Valuation 2016.pdf Pg No: 35</t>
  </si>
  <si>
    <t>Oregon PERS Valuation 2017.pdf Pg No: 8</t>
  </si>
  <si>
    <t>Oregon PERS Valuation 2017.pdf Pg No: 44, 46, 54, 55</t>
  </si>
  <si>
    <t>Oregon PERS Valuation 2017.pdf Pg No: 23</t>
  </si>
  <si>
    <t>Oregon PERS Valuation 2017.pdf Pg No: 111</t>
  </si>
  <si>
    <t>Oregon PERS Valuation 2017.pdf Pg No: 112-113,118</t>
  </si>
  <si>
    <t>Oregon PERS Valuation 2017.pdf Pg No: 115,119</t>
  </si>
  <si>
    <t>Oregon PERS Valuation 2017.pdf Pg No: 116,117</t>
  </si>
  <si>
    <t>Oregon PERS Valuation 2017.pdf Pg No: 101</t>
  </si>
  <si>
    <t>Oregon PERS Valuation 2017.pdf Pg No: 106</t>
  </si>
  <si>
    <t>Oregon PERS Valuation 2017.pdf Pg No: 102</t>
  </si>
  <si>
    <t>Oregon PERS Valuation 2017.pdf Pg No: 99</t>
  </si>
  <si>
    <t>Oregon PERS Valuation 2017.pdf Pg No: 99, 108</t>
  </si>
  <si>
    <t>Oregon PERS Valuation 2017.pdf Pg No: 19</t>
  </si>
  <si>
    <t>Oregon PERS Valuation 2017.pdf Pg No: 78</t>
  </si>
  <si>
    <t>Oregon PERS Valuation 2017.pdf Pg No: 37,52</t>
  </si>
  <si>
    <t>Oregon PERS Valuation 2017.pdf Pg No: 37</t>
  </si>
  <si>
    <t>Oregon PERS Valuation 2018.pdf Pg No: 45, 47, 55, 57</t>
  </si>
  <si>
    <t>Oregon PERS Valuation 2018.pdf Pg No: 25</t>
  </si>
  <si>
    <t>Oregon PERS Valuation 2018.pdf Pg No: 116</t>
  </si>
  <si>
    <t>Oregon PERS Valuation 2018.pdf Pg No: 117,123</t>
  </si>
  <si>
    <t>Oregon PERS Valuation 2018.pdf Pg No: 120,124</t>
  </si>
  <si>
    <t>Oregon PERS Valuation 2018.pdf Pg No: 121,122</t>
  </si>
  <si>
    <t>Oregon PERS Valuation 2018.pdf Pg No: 104</t>
  </si>
  <si>
    <t>Oregon PERS Valuation 2018.pdf Pg No: 109</t>
  </si>
  <si>
    <t>Oregon PERS Valuation 2018.pdf Pg No: 105</t>
  </si>
  <si>
    <t>Oregon PERS Valuation 2018.pdf Pg No: 102</t>
  </si>
  <si>
    <t>Oregon PERS Valuation 2018.pdf Pg No: 102, 111</t>
  </si>
  <si>
    <t>Oregon PERS Valuation 2018.pdf Pg No: 101</t>
  </si>
  <si>
    <t>Oregon PERS Valuation 2018.pdf Pg No: 20</t>
  </si>
  <si>
    <t>Oregon PERS Valuation 2018.pdf Pg No: 80</t>
  </si>
  <si>
    <t>Oregon PERS Valuation 2018.pdf Pg No: 38,53</t>
  </si>
  <si>
    <t>Oregon PERS Valuation 2018.pdf Pg No: 38</t>
  </si>
  <si>
    <t>Oregon PERS Valuation 2019.pdf Pg No: 8</t>
  </si>
  <si>
    <t>Oregon PERS Valuation 2019.pdf Pg No: 45, 47, 55, 56</t>
  </si>
  <si>
    <t>Oregon PERS Valuation 2019.pdf Pg No: 24</t>
  </si>
  <si>
    <t>Oregon PERS Valuation 2019.pdf Pg No: 114</t>
  </si>
  <si>
    <t>Oregon PERS Valuation 2019.pdf Pg No: 115,121</t>
  </si>
  <si>
    <t>Oregon PERS Valuation 2019.pdf Pg No: 118,122</t>
  </si>
  <si>
    <t>Oregon PERS Valuation 2019.pdf Pg No: 119,120</t>
  </si>
  <si>
    <t>Oregon PERS Valuation 2019.pdf Pg No: 103</t>
  </si>
  <si>
    <t>Oregon PERS Valuation 2019.pdf Pg No: 108</t>
  </si>
  <si>
    <t>Oregon PERS Valuation 2019.pdf Pg No: 104</t>
  </si>
  <si>
    <t>Oregon PERS Valuation 2019.pdf Pg No: 101</t>
  </si>
  <si>
    <t>Oregon PERS Valuation 2019.pdf Pg No: 101, 110</t>
  </si>
  <si>
    <t>Oregon PERS Valuation 2019.pdf Pg No: 100</t>
  </si>
  <si>
    <t>Oregon PERS Valuation 2019.pdf Pg No: 20</t>
  </si>
  <si>
    <t>Oregon PERS Valuation 2019.pdf Pg No: 79</t>
  </si>
  <si>
    <t>Oregon PERS Valuation 2019.pdf Pg No: 38,53</t>
  </si>
  <si>
    <t>Oregon PERS Valuation 2019.pdf Pg No: 38</t>
  </si>
  <si>
    <t>Oregon PERS Valuation 2021.pdf Pg No: 8</t>
  </si>
  <si>
    <t>Oregon PERS Valuation 2021.pdf Pg No: 118</t>
  </si>
  <si>
    <t>Oregon PERS Valuation 2021.pdf Pg No: 119,126</t>
  </si>
  <si>
    <t>Oregon PERS Valuation 2021.pdf Pg No: 123,127</t>
  </si>
  <si>
    <t>Oregon PERS Valuation 2021.pdf Pg No: 122,127</t>
  </si>
  <si>
    <t>Oregon PERS Valuation 2021.pdf Pg No: 123,124</t>
  </si>
  <si>
    <t>Oregon PERS Valuation 2022.pdf Pg No: 9</t>
  </si>
  <si>
    <t>Oregon PERS Valuation 2022.pdf Pg No: 120</t>
  </si>
  <si>
    <t>Oregon PERS Valuation 2022.pdf Pg No: 121,127</t>
  </si>
  <si>
    <t>Oregon PERS Valuation 2022.pdf Pg No: 124,128</t>
  </si>
  <si>
    <t>Oregon PERS Valuation 2022.pdf Pg No: 122,127</t>
  </si>
  <si>
    <t>Oregon PERS Valuation 2020.pdf Pg No: 45, 47, 55, 57</t>
  </si>
  <si>
    <t>Oregon PERS Valuation 2020.pdf Pg No:  117</t>
  </si>
  <si>
    <t>Oregon PERS Valuation 2020.pdf Pg No:  118,125</t>
  </si>
  <si>
    <t>Oregon PERS Valuation 2020.pdf Pg No:  122,126</t>
  </si>
  <si>
    <t>Oregon PERS Valuation 2020.pdf Pg No:  122,123</t>
  </si>
  <si>
    <t>Oregon PERS CAFR 2020.pdf Pg No:  54</t>
  </si>
  <si>
    <t>Oregon PERS Valuation 2020.pdf Pg No: 106</t>
  </si>
  <si>
    <t>Oregon PERS Valuation 2020.pdf Pg No: 111</t>
  </si>
  <si>
    <t>Oregon PERS Valuation 2020.pdf Pg No: 107</t>
  </si>
  <si>
    <t>Oregon PERS Valuation 2020.pdf Pg No: 103</t>
  </si>
  <si>
    <t>Oregon PERS Valuation 2020.pdf Pg No: 103, 113</t>
  </si>
  <si>
    <t>Oregon PERS Valuation 2020.pdf Pg No: 102</t>
  </si>
  <si>
    <t>Oregon PERS Valuation 2020.pdf Pg No:  25</t>
  </si>
  <si>
    <t>Oregon PERS Valuation 2020.pdf Pg No:  20</t>
  </si>
  <si>
    <t>Oregon PERS Valuation 2020.pdf Pg No: 38, 53</t>
  </si>
  <si>
    <t>Oregon PERS Valuation 2020.pdf Pg No: 38</t>
  </si>
  <si>
    <t>2015-2022</t>
  </si>
  <si>
    <t>2019, 2022</t>
  </si>
  <si>
    <t>2004, 2006-2022</t>
  </si>
  <si>
    <t>2018-2022</t>
  </si>
  <si>
    <t>2006-2022</t>
  </si>
  <si>
    <t>2001-2022</t>
  </si>
  <si>
    <t>2013 - 2022</t>
  </si>
  <si>
    <t>2006, 2009, 2012, 2014-2022</t>
  </si>
  <si>
    <t>2004, 2022</t>
  </si>
  <si>
    <t>Oregon PERS CAFR 2022.pdf Pg No: 80</t>
  </si>
  <si>
    <t>Oregon PERS CAFR 2022.pdf Pg No: 84</t>
  </si>
  <si>
    <t>Oregon PERS CAFR 2022.pdf Pg No: 42</t>
  </si>
  <si>
    <t>Oregon PERS Valuation 2022.pdf Pg No: 81</t>
  </si>
  <si>
    <t>Oregon PERS Valuation 2022.pdf Pg No: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</si>
</sst>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164" fontId="9" fillId="0" borderId="0" applyFont="0" applyFill="0" applyBorder="0" applyAlignment="0" applyProtection="0"/>
    <xf numFmtId="0" fontId="14" fillId="0" borderId="1"/>
    <xf numFmtId="0" fontId="9" fillId="0" borderId="1"/>
    <xf numFmtId="9" fontId="14" fillId="0" borderId="1" applyFont="0" applyFill="0" applyBorder="0" applyAlignment="0" applyProtection="0"/>
    <xf numFmtId="0" fontId="4" fillId="0" borderId="1"/>
    <xf numFmtId="0" fontId="9" fillId="0" borderId="1"/>
    <xf numFmtId="43" fontId="14" fillId="0" borderId="1" applyFont="0" applyFill="0" applyBorder="0" applyAlignment="0" applyProtection="0"/>
    <xf numFmtId="0" fontId="14" fillId="0" borderId="1"/>
    <xf numFmtId="0" fontId="9" fillId="0" borderId="1"/>
    <xf numFmtId="0" fontId="3" fillId="0" borderId="1"/>
    <xf numFmtId="0" fontId="14" fillId="0" borderId="1"/>
    <xf numFmtId="0" fontId="14" fillId="0" borderId="1"/>
    <xf numFmtId="43" fontId="14" fillId="0" borderId="1" applyFont="0" applyFill="0" applyBorder="0" applyAlignment="0" applyProtection="0"/>
    <xf numFmtId="0" fontId="14" fillId="0" borderId="1"/>
    <xf numFmtId="0" fontId="14" fillId="0" borderId="1"/>
    <xf numFmtId="0" fontId="3" fillId="0" borderId="1"/>
    <xf numFmtId="164" fontId="9" fillId="0" borderId="1" applyFont="0" applyFill="0" applyBorder="0" applyAlignment="0" applyProtection="0"/>
    <xf numFmtId="0" fontId="9" fillId="0" borderId="1"/>
    <xf numFmtId="9" fontId="9" fillId="0" borderId="1" applyFont="0" applyFill="0" applyBorder="0" applyAlignment="0" applyProtection="0"/>
    <xf numFmtId="0" fontId="1" fillId="0" borderId="1"/>
    <xf numFmtId="43" fontId="9" fillId="0" borderId="1" applyFont="0" applyFill="0" applyBorder="0" applyAlignment="0" applyProtection="0"/>
    <xf numFmtId="0" fontId="9" fillId="0" borderId="1"/>
    <xf numFmtId="0" fontId="1" fillId="0" borderId="1"/>
    <xf numFmtId="0" fontId="9" fillId="0" borderId="1"/>
    <xf numFmtId="0" fontId="9" fillId="0" borderId="1"/>
    <xf numFmtId="43" fontId="9" fillId="0" borderId="1" applyFont="0" applyFill="0" applyBorder="0" applyAlignment="0" applyProtection="0"/>
    <xf numFmtId="0" fontId="9" fillId="0" borderId="1"/>
    <xf numFmtId="0" fontId="9" fillId="0" borderId="1"/>
    <xf numFmtId="0" fontId="1" fillId="0" borderId="1"/>
    <xf numFmtId="9" fontId="9" fillId="0" borderId="1" applyFon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6" fontId="6" fillId="0" borderId="0" xfId="0" applyNumberFormat="1" applyFont="1"/>
    <xf numFmtId="0" fontId="11" fillId="0" borderId="0" xfId="0" applyFont="1"/>
    <xf numFmtId="0" fontId="11" fillId="0" borderId="0" xfId="0" applyFont="1" applyAlignment="1">
      <alignment wrapText="1"/>
    </xf>
    <xf numFmtId="166" fontId="6" fillId="0" borderId="0" xfId="1" applyNumberFormat="1" applyFont="1"/>
    <xf numFmtId="0" fontId="12" fillId="3" borderId="1" xfId="0" applyFont="1" applyFill="1" applyBorder="1" applyAlignment="1">
      <alignment wrapText="1"/>
    </xf>
    <xf numFmtId="165" fontId="6" fillId="4" borderId="0" xfId="0" applyNumberFormat="1" applyFont="1" applyFill="1"/>
    <xf numFmtId="3" fontId="11" fillId="0" borderId="0" xfId="0" applyNumberFormat="1" applyFont="1"/>
    <xf numFmtId="10" fontId="6" fillId="4" borderId="0" xfId="0" applyNumberFormat="1" applyFont="1" applyFill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165" fontId="13" fillId="0" borderId="0" xfId="0" applyNumberFormat="1" applyFont="1"/>
    <xf numFmtId="0" fontId="0" fillId="5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5" fillId="0" borderId="1" xfId="2" applyFont="1" applyAlignment="1">
      <alignment horizontal="center" vertical="center" wrapText="1"/>
    </xf>
    <xf numFmtId="0" fontId="15" fillId="0" borderId="1" xfId="2" applyFont="1" applyAlignment="1">
      <alignment horizontal="center" vertical="center" wrapText="1"/>
    </xf>
    <xf numFmtId="0" fontId="5" fillId="0" borderId="1" xfId="2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0" fontId="13" fillId="0" borderId="1" xfId="2" applyFont="1"/>
    <xf numFmtId="10" fontId="6" fillId="7" borderId="1" xfId="2" applyNumberFormat="1" applyFont="1" applyFill="1"/>
    <xf numFmtId="10" fontId="6" fillId="6" borderId="1" xfId="2" applyNumberFormat="1" applyFont="1" applyFill="1"/>
    <xf numFmtId="10" fontId="13" fillId="0" borderId="1" xfId="2" applyNumberFormat="1" applyFont="1"/>
    <xf numFmtId="10" fontId="13" fillId="6" borderId="1" xfId="2" applyNumberFormat="1" applyFont="1" applyFill="1"/>
    <xf numFmtId="0" fontId="6" fillId="0" borderId="1" xfId="2" applyFont="1"/>
    <xf numFmtId="0" fontId="16" fillId="0" borderId="1" xfId="2" applyFont="1"/>
    <xf numFmtId="10" fontId="6" fillId="0" borderId="1" xfId="4" applyNumberFormat="1" applyFont="1" applyBorder="1"/>
    <xf numFmtId="0" fontId="5" fillId="0" borderId="1" xfId="2" applyFont="1"/>
    <xf numFmtId="0" fontId="0" fillId="0" borderId="0" xfId="0" applyAlignment="1">
      <alignment horizontal="right"/>
    </xf>
    <xf numFmtId="0" fontId="4" fillId="0" borderId="1" xfId="5"/>
    <xf numFmtId="0" fontId="15" fillId="0" borderId="1" xfId="11" applyFont="1" applyAlignment="1">
      <alignment horizontal="center" vertical="center" wrapText="1"/>
    </xf>
    <xf numFmtId="0" fontId="15" fillId="0" borderId="1" xfId="15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165" fontId="6" fillId="0" borderId="0" xfId="1" applyNumberFormat="1" applyFont="1"/>
    <xf numFmtId="0" fontId="17" fillId="0" borderId="0" xfId="0" applyFont="1" applyAlignment="1">
      <alignment horizontal="left" wrapText="1"/>
    </xf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1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165" fontId="2" fillId="2" borderId="1" xfId="0" applyNumberFormat="1" applyFont="1" applyFill="1" applyBorder="1"/>
    <xf numFmtId="43" fontId="2" fillId="0" borderId="0" xfId="0" applyNumberFormat="1" applyFont="1"/>
    <xf numFmtId="165" fontId="2" fillId="0" borderId="0" xfId="1" applyNumberFormat="1" applyFont="1"/>
    <xf numFmtId="3" fontId="2" fillId="0" borderId="0" xfId="0" applyNumberFormat="1" applyFont="1"/>
    <xf numFmtId="10" fontId="6" fillId="0" borderId="1" xfId="2" applyNumberFormat="1" applyFont="1"/>
    <xf numFmtId="0" fontId="6" fillId="0" borderId="1" xfId="3" applyFont="1"/>
    <xf numFmtId="0" fontId="5" fillId="0" borderId="1" xfId="3" applyFont="1" applyAlignment="1">
      <alignment horizontal="center" vertical="center" wrapText="1"/>
    </xf>
    <xf numFmtId="0" fontId="5" fillId="6" borderId="1" xfId="3" applyFont="1" applyFill="1" applyAlignment="1">
      <alignment horizontal="center" vertical="center" wrapText="1"/>
    </xf>
    <xf numFmtId="9" fontId="5" fillId="0" borderId="1" xfId="2" applyNumberFormat="1" applyFont="1" applyAlignment="1">
      <alignment horizontal="center" vertical="center"/>
    </xf>
    <xf numFmtId="9" fontId="15" fillId="6" borderId="1" xfId="2" applyNumberFormat="1" applyFont="1" applyFill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5" fillId="0" borderId="1" xfId="2" applyFont="1" applyAlignment="1">
      <alignment horizontal="center"/>
    </xf>
    <xf numFmtId="0" fontId="5" fillId="6" borderId="1" xfId="2" applyFont="1" applyFill="1" applyAlignment="1">
      <alignment horizontal="center"/>
    </xf>
    <xf numFmtId="0" fontId="11" fillId="0" borderId="0" xfId="0" applyFont="1" applyAlignment="1">
      <alignment horizontal="left" vertical="center" wrapText="1"/>
    </xf>
    <xf numFmtId="166" fontId="6" fillId="0" borderId="0" xfId="1" applyNumberFormat="1" applyFont="1" applyFill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11" fillId="0" borderId="0" xfId="0" applyFont="1" applyAlignment="1">
      <alignment horizontal="center" vertical="center" wrapText="1"/>
    </xf>
  </cellXfs>
  <cellStyles count="31">
    <cellStyle name="Comma" xfId="1" builtinId="3"/>
    <cellStyle name="Comma 2" xfId="13" xr:uid="{4DE668FF-BDA2-41DD-8DA5-8E343095A053}"/>
    <cellStyle name="Comma 2 2" xfId="26" xr:uid="{49786B38-2439-45C3-9114-A3E834CA546F}"/>
    <cellStyle name="Comma 3" xfId="7" xr:uid="{549A5D77-1EF6-4D38-BA0C-F1B3C1D41001}"/>
    <cellStyle name="Comma 3 2" xfId="21" xr:uid="{117640D4-C097-41DF-9DBE-0F4D2BA82214}"/>
    <cellStyle name="Comma 4" xfId="17" xr:uid="{FC4A56E1-4668-40DB-AA25-68B84A7A8910}"/>
    <cellStyle name="Normal" xfId="0" builtinId="0"/>
    <cellStyle name="Normal 14" xfId="3" xr:uid="{6B1DB4C5-8B79-4217-9D92-A91A085843DD}"/>
    <cellStyle name="Normal 14 2" xfId="14" xr:uid="{33E0FEBF-6193-4D40-A575-347C97A5F7E2}"/>
    <cellStyle name="Normal 14 2 2" xfId="27" xr:uid="{65626BD0-2AC7-4681-B378-ADB0B44A6215}"/>
    <cellStyle name="Normal 14 3" xfId="8" xr:uid="{0E9FE44A-DB30-49A3-A360-5DD5EC0670D4}"/>
    <cellStyle name="Normal 14 3 2" xfId="22" xr:uid="{5812AD10-3D60-4ED8-A37A-0FDE372D118D}"/>
    <cellStyle name="Normal 15" xfId="5" xr:uid="{C44BFA85-411C-498B-A698-2CBFFEFCBBC7}"/>
    <cellStyle name="Normal 15 2" xfId="16" xr:uid="{59E1CBE0-1301-4349-9295-EDF604F1BAAF}"/>
    <cellStyle name="Normal 15 2 2" xfId="29" xr:uid="{CDAB5198-399B-4D50-905E-9C970F8DDF09}"/>
    <cellStyle name="Normal 15 3" xfId="10" xr:uid="{E45E7790-C821-4321-BFB8-8BBF2AF8127A}"/>
    <cellStyle name="Normal 15 3 2" xfId="23" xr:uid="{7F8F8A62-4F4D-4AA2-AB81-4B1D2A8F74DD}"/>
    <cellStyle name="Normal 15 4" xfId="20" xr:uid="{A2A53AAC-C37C-4745-BD20-0854D67D0BC2}"/>
    <cellStyle name="Normal 2" xfId="12" xr:uid="{6B487703-287D-4323-8512-045B368ADB54}"/>
    <cellStyle name="Normal 2 2" xfId="25" xr:uid="{9654DA5E-34D0-4BB8-9027-E337791CC5FC}"/>
    <cellStyle name="Normal 3" xfId="11" xr:uid="{45D9261E-3BC4-4CAB-AC9D-8863DFBE0FDB}"/>
    <cellStyle name="Normal 3 2" xfId="24" xr:uid="{1C61F46B-6B5A-4AB0-8605-06FBE4FD528D}"/>
    <cellStyle name="Normal 4" xfId="15" xr:uid="{22649DFF-F4B7-427A-A377-D93A5F083C31}"/>
    <cellStyle name="Normal 4 2" xfId="2" xr:uid="{3FBFB559-C1E6-4137-AFD5-048037AB1F0F}"/>
    <cellStyle name="Normal 4 2 2" xfId="18" xr:uid="{6906BC86-79A5-4FD4-AC7E-585B0109089D}"/>
    <cellStyle name="Normal 4 3" xfId="28" xr:uid="{24BC12C4-5F76-4001-8384-E837C0AA05E9}"/>
    <cellStyle name="Normal 5" xfId="6" xr:uid="{06555EBE-97F8-46B1-A9DB-F236830DE54C}"/>
    <cellStyle name="Normal 6" xfId="9" xr:uid="{E000B388-12D5-42C7-A758-3AC098F199F2}"/>
    <cellStyle name="Percent 2" xfId="4" xr:uid="{9F7A14C6-240F-4E90-8AFD-921CBFCA4C8F}"/>
    <cellStyle name="Percent 2 2" xfId="19" xr:uid="{033C8C81-BA76-4D1B-9FC5-ABFC052F4290}"/>
    <cellStyle name="Percent 3" xfId="30" xr:uid="{F55DA754-43B6-492D-BA10-6A5C33E93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5.5" style="58" bestFit="1" customWidth="1"/>
    <col min="2" max="2" width="7.83203125" style="58" bestFit="1" customWidth="1"/>
    <col min="3" max="5" width="32.08203125" style="58" customWidth="1"/>
    <col min="6" max="8" width="30" style="58" customWidth="1"/>
    <col min="9" max="9" width="30" style="58" bestFit="1" customWidth="1"/>
    <col min="10" max="10" width="30" style="58" customWidth="1"/>
    <col min="11" max="11" width="32.08203125" style="58" customWidth="1"/>
    <col min="12" max="13" width="17.9140625" style="58" bestFit="1" customWidth="1"/>
    <col min="14" max="14" width="29.25" style="58" customWidth="1"/>
    <col min="15" max="19" width="32.08203125" style="58" customWidth="1"/>
    <col min="20" max="21" width="30.1640625" style="58" bestFit="1" customWidth="1"/>
    <col min="22" max="24" width="32.08203125" style="58" customWidth="1"/>
    <col min="25" max="25" width="27.25" style="58" customWidth="1"/>
    <col min="26" max="26" width="13.5" style="58" customWidth="1"/>
    <col min="27" max="29" width="30" style="58" bestFit="1" customWidth="1"/>
    <col min="30" max="30" width="25.25" style="58" bestFit="1" customWidth="1"/>
    <col min="31" max="33" width="31.1640625" style="58" bestFit="1" customWidth="1"/>
    <col min="34" max="34" width="41.83203125" style="58" customWidth="1"/>
    <col min="35" max="35" width="31.1640625" style="58" bestFit="1" customWidth="1"/>
    <col min="36" max="36" width="43.58203125" style="58" bestFit="1" customWidth="1"/>
    <col min="37" max="37" width="31.1640625" style="58" bestFit="1" customWidth="1"/>
    <col min="38" max="38" width="48.25" style="58" customWidth="1"/>
    <col min="39" max="39" width="31.1640625" style="58" bestFit="1" customWidth="1"/>
    <col min="40" max="41" width="31.33203125" style="58" customWidth="1"/>
    <col min="42" max="42" width="9.08203125" style="58" customWidth="1"/>
    <col min="43" max="43" width="32.08203125" style="58" customWidth="1"/>
    <col min="44" max="44" width="30" style="58" bestFit="1" customWidth="1"/>
    <col min="45" max="45" width="30.33203125" style="58" customWidth="1"/>
    <col min="46" max="46" width="30.58203125" style="58" customWidth="1"/>
    <col min="47" max="47" width="30" style="58" bestFit="1" customWidth="1"/>
    <col min="48" max="48" width="30.33203125" style="58" customWidth="1"/>
    <col min="49" max="49" width="30" style="58" bestFit="1" customWidth="1"/>
    <col min="50" max="50" width="26.58203125" style="58" customWidth="1"/>
    <col min="51" max="58" width="30" style="58" bestFit="1" customWidth="1"/>
    <col min="59" max="59" width="30.1640625" style="58" bestFit="1" customWidth="1"/>
    <col min="60" max="61" width="30" style="58" bestFit="1" customWidth="1"/>
    <col min="62" max="62" width="30.75" style="58" customWidth="1"/>
    <col min="63" max="64" width="30" style="58" bestFit="1" customWidth="1"/>
    <col min="65" max="65" width="27" style="58" customWidth="1"/>
    <col min="66" max="67" width="30" style="58" bestFit="1" customWidth="1"/>
    <col min="68" max="16384" width="12.58203125" style="58"/>
  </cols>
  <sheetData>
    <row r="1" spans="1:67" ht="29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48</v>
      </c>
      <c r="BO1" s="15" t="s">
        <v>63</v>
      </c>
    </row>
    <row r="2" spans="1:67" x14ac:dyDescent="0.35">
      <c r="A2" s="16" t="s">
        <v>64</v>
      </c>
      <c r="B2" s="16" t="s">
        <v>65</v>
      </c>
      <c r="C2" s="16" t="s">
        <v>66</v>
      </c>
      <c r="D2" s="16" t="s">
        <v>67</v>
      </c>
      <c r="E2" s="16" t="s">
        <v>68</v>
      </c>
      <c r="F2" s="16" t="s">
        <v>69</v>
      </c>
      <c r="G2" s="16" t="s">
        <v>70</v>
      </c>
      <c r="H2" s="16" t="s">
        <v>71</v>
      </c>
      <c r="I2" s="16" t="s">
        <v>72</v>
      </c>
      <c r="J2" s="16" t="s">
        <v>73</v>
      </c>
      <c r="K2" s="16" t="s">
        <v>74</v>
      </c>
      <c r="L2" s="16" t="s">
        <v>75</v>
      </c>
      <c r="M2" s="16" t="s">
        <v>76</v>
      </c>
      <c r="N2" s="16" t="s">
        <v>77</v>
      </c>
      <c r="O2" s="16" t="s">
        <v>78</v>
      </c>
      <c r="P2" s="16" t="s">
        <v>79</v>
      </c>
      <c r="Q2" s="16" t="s">
        <v>80</v>
      </c>
      <c r="R2" s="16" t="s">
        <v>81</v>
      </c>
      <c r="S2" s="16" t="s">
        <v>82</v>
      </c>
      <c r="T2" s="16" t="s">
        <v>83</v>
      </c>
      <c r="U2" s="16" t="s">
        <v>84</v>
      </c>
      <c r="V2" s="16" t="s">
        <v>85</v>
      </c>
      <c r="W2" s="16" t="s">
        <v>86</v>
      </c>
      <c r="X2" s="16" t="s">
        <v>87</v>
      </c>
      <c r="Y2" s="16" t="s">
        <v>88</v>
      </c>
      <c r="Z2" s="16" t="s">
        <v>89</v>
      </c>
      <c r="AA2" s="16" t="s">
        <v>90</v>
      </c>
      <c r="AB2" s="16" t="s">
        <v>91</v>
      </c>
      <c r="AC2" s="16" t="s">
        <v>92</v>
      </c>
      <c r="AD2" s="16" t="s">
        <v>88</v>
      </c>
      <c r="AE2" s="16" t="s">
        <v>93</v>
      </c>
      <c r="AF2" s="16" t="s">
        <v>94</v>
      </c>
      <c r="AG2" s="16" t="s">
        <v>95</v>
      </c>
      <c r="AH2" s="16" t="s">
        <v>96</v>
      </c>
      <c r="AI2" s="16" t="s">
        <v>97</v>
      </c>
      <c r="AJ2" s="16" t="s">
        <v>98</v>
      </c>
      <c r="AK2" s="16" t="s">
        <v>99</v>
      </c>
      <c r="AL2" s="16" t="s">
        <v>100</v>
      </c>
      <c r="AM2" s="16" t="s">
        <v>101</v>
      </c>
      <c r="AN2" s="16" t="s">
        <v>102</v>
      </c>
      <c r="AO2" s="16" t="s">
        <v>103</v>
      </c>
      <c r="AP2" s="16" t="s">
        <v>104</v>
      </c>
      <c r="AQ2" s="16" t="s">
        <v>105</v>
      </c>
      <c r="AR2" s="16" t="s">
        <v>106</v>
      </c>
      <c r="AS2" s="16" t="s">
        <v>107</v>
      </c>
      <c r="AT2" s="16" t="s">
        <v>108</v>
      </c>
      <c r="AU2" s="16" t="s">
        <v>109</v>
      </c>
      <c r="AV2" s="16" t="s">
        <v>110</v>
      </c>
      <c r="AW2" s="16" t="s">
        <v>111</v>
      </c>
      <c r="AX2" s="16" t="s">
        <v>112</v>
      </c>
      <c r="AY2" s="16" t="s">
        <v>113</v>
      </c>
      <c r="AZ2" s="16" t="s">
        <v>114</v>
      </c>
      <c r="BA2" s="16" t="s">
        <v>115</v>
      </c>
      <c r="BB2" s="16" t="s">
        <v>116</v>
      </c>
      <c r="BC2" s="16" t="s">
        <v>117</v>
      </c>
      <c r="BD2" s="16" t="s">
        <v>118</v>
      </c>
      <c r="BE2" s="16" t="s">
        <v>119</v>
      </c>
      <c r="BF2" s="16" t="s">
        <v>120</v>
      </c>
      <c r="BG2" s="16" t="s">
        <v>121</v>
      </c>
      <c r="BH2" s="16" t="s">
        <v>122</v>
      </c>
      <c r="BI2" s="16" t="s">
        <v>123</v>
      </c>
      <c r="BJ2" s="16" t="s">
        <v>124</v>
      </c>
      <c r="BK2" s="16" t="s">
        <v>125</v>
      </c>
      <c r="BL2" s="16" t="s">
        <v>126</v>
      </c>
      <c r="BM2" s="16" t="s">
        <v>127</v>
      </c>
      <c r="BN2" s="16" t="s">
        <v>113</v>
      </c>
      <c r="BO2" s="16" t="s">
        <v>128</v>
      </c>
    </row>
    <row r="3" spans="1:67" x14ac:dyDescent="0.35">
      <c r="A3" s="58" t="s">
        <v>319</v>
      </c>
      <c r="B3" s="58">
        <v>2014</v>
      </c>
      <c r="C3" s="59">
        <v>41274</v>
      </c>
      <c r="D3" s="59" t="s">
        <v>848</v>
      </c>
      <c r="E3" s="59">
        <v>41820</v>
      </c>
      <c r="F3" s="60">
        <v>129138</v>
      </c>
      <c r="G3" s="61">
        <f>190023+15993</f>
        <v>206016</v>
      </c>
      <c r="H3" s="60">
        <f>2485+119</f>
        <v>2604</v>
      </c>
      <c r="I3" s="60"/>
      <c r="J3" s="61">
        <f>129138+208620</f>
        <v>337758</v>
      </c>
      <c r="K3" s="62">
        <v>7.7499999999999999E-2</v>
      </c>
      <c r="P3" s="62">
        <v>7.7499999999999999E-2</v>
      </c>
      <c r="Q3" s="61">
        <v>63134800000</v>
      </c>
      <c r="R3" s="61">
        <v>65401500000</v>
      </c>
      <c r="S3" s="61">
        <v>-2266700000</v>
      </c>
      <c r="T3" s="63">
        <v>1.036</v>
      </c>
      <c r="U3" s="60">
        <v>8701700000</v>
      </c>
      <c r="V3" s="60">
        <v>-2080783176</v>
      </c>
      <c r="W3" s="61">
        <v>44578491</v>
      </c>
      <c r="X3" s="61">
        <v>4418419607</v>
      </c>
      <c r="Y3" s="64">
        <f t="shared" ref="Y3:Y8" si="0">AA3/U3</f>
        <v>9.9593757541629802E-2</v>
      </c>
      <c r="Z3" s="64">
        <f t="shared" ref="Z3:Z8" si="1">AB3/U3</f>
        <v>9.9593757541629802E-2</v>
      </c>
      <c r="AA3" s="60">
        <v>866635000</v>
      </c>
      <c r="AB3" s="60">
        <v>866635000</v>
      </c>
      <c r="AC3" s="65">
        <f t="shared" ref="AC3:AC8" si="2">AA3-AB3</f>
        <v>0</v>
      </c>
      <c r="AD3" s="64">
        <f t="shared" ref="AD3:AD8" si="3">AB3/AA3</f>
        <v>1</v>
      </c>
      <c r="AE3" s="60">
        <v>1020300000</v>
      </c>
      <c r="AF3" s="60">
        <v>4819500000</v>
      </c>
      <c r="AG3" s="60">
        <v>-2423700000</v>
      </c>
      <c r="AJ3" s="60">
        <v>-15300000</v>
      </c>
      <c r="AM3" s="60">
        <v>31200000</v>
      </c>
      <c r="AN3" s="60"/>
      <c r="AO3" s="60"/>
      <c r="AQ3" s="60">
        <v>-2080783176</v>
      </c>
      <c r="AR3" s="62">
        <v>6.7500000000000004E-2</v>
      </c>
      <c r="AS3" s="62">
        <v>7.7499999999999999E-2</v>
      </c>
      <c r="AT3" s="62">
        <v>8.7499999999999994E-2</v>
      </c>
      <c r="AU3" s="60">
        <v>4800100000</v>
      </c>
      <c r="AV3" s="60">
        <v>-2266700000</v>
      </c>
      <c r="AW3" s="60">
        <v>-8243600000</v>
      </c>
      <c r="AX3" s="66"/>
      <c r="AY3" s="60">
        <v>63582100000</v>
      </c>
      <c r="AZ3" s="60">
        <v>1020300000</v>
      </c>
      <c r="BA3" s="60">
        <v>4819500000</v>
      </c>
      <c r="BB3" s="60">
        <v>-2423700000</v>
      </c>
      <c r="BC3" s="60">
        <v>0</v>
      </c>
      <c r="BD3" s="60">
        <v>0</v>
      </c>
      <c r="BE3" s="60">
        <v>915200000</v>
      </c>
      <c r="BF3" s="60">
        <v>15300000</v>
      </c>
      <c r="BG3" s="60">
        <v>9886700000</v>
      </c>
      <c r="BH3" s="60">
        <v>-3863400000</v>
      </c>
      <c r="BI3" s="60">
        <v>0</v>
      </c>
      <c r="BJ3" s="60">
        <v>-3863400000</v>
      </c>
      <c r="BK3" s="60">
        <v>-31200000</v>
      </c>
      <c r="BL3" s="60">
        <v>0</v>
      </c>
      <c r="BM3" s="60"/>
      <c r="BN3" s="60">
        <v>58478900000</v>
      </c>
      <c r="BO3" s="60">
        <v>-2266700000</v>
      </c>
    </row>
    <row r="4" spans="1:67" x14ac:dyDescent="0.35">
      <c r="A4" s="58" t="s">
        <v>319</v>
      </c>
      <c r="B4" s="58">
        <f>B3+1</f>
        <v>2015</v>
      </c>
      <c r="C4" s="59">
        <v>41639</v>
      </c>
      <c r="D4" s="59">
        <v>41820</v>
      </c>
      <c r="E4" s="59">
        <v>42185</v>
      </c>
      <c r="F4" s="60">
        <v>132506</v>
      </c>
      <c r="G4" s="61">
        <f>194588+16389</f>
        <v>210977</v>
      </c>
      <c r="H4" s="60">
        <f>2293+106</f>
        <v>2399</v>
      </c>
      <c r="I4" s="60"/>
      <c r="J4" s="61">
        <f>132506+213376</f>
        <v>345882</v>
      </c>
      <c r="K4" s="62">
        <v>7.7499999999999999E-2</v>
      </c>
      <c r="O4" s="62">
        <v>7.7499999999999999E-2</v>
      </c>
      <c r="P4" s="62">
        <v>7.7499999999999999E-2</v>
      </c>
      <c r="Q4" s="61">
        <v>70665100000</v>
      </c>
      <c r="R4" s="61">
        <v>64923600000</v>
      </c>
      <c r="S4" s="61">
        <v>5741500000</v>
      </c>
      <c r="T4" s="63">
        <v>0.91900000000000004</v>
      </c>
      <c r="U4" s="60">
        <v>9000246000</v>
      </c>
      <c r="V4" s="60">
        <v>5651523368</v>
      </c>
      <c r="W4" s="61">
        <v>372191523</v>
      </c>
      <c r="X4" s="61">
        <v>1266123309</v>
      </c>
      <c r="Y4" s="64">
        <f t="shared" si="0"/>
        <v>0.10109856997242075</v>
      </c>
      <c r="Z4" s="64">
        <f t="shared" si="1"/>
        <v>0.10109856997242075</v>
      </c>
      <c r="AA4" s="60">
        <v>909912000</v>
      </c>
      <c r="AB4" s="60">
        <v>909912000</v>
      </c>
      <c r="AC4" s="65">
        <f t="shared" si="2"/>
        <v>0</v>
      </c>
      <c r="AD4" s="64">
        <f t="shared" si="3"/>
        <v>1</v>
      </c>
      <c r="AE4" s="60">
        <v>960900000</v>
      </c>
      <c r="AF4" s="60">
        <v>4779500000</v>
      </c>
      <c r="AG4" s="60">
        <v>5353500000</v>
      </c>
      <c r="AJ4" s="60">
        <v>-13800000</v>
      </c>
      <c r="AM4" s="60">
        <v>35700000</v>
      </c>
      <c r="AN4" s="60"/>
      <c r="AO4" s="60"/>
      <c r="AQ4" s="60">
        <v>5651523368</v>
      </c>
      <c r="AR4" s="62">
        <v>6.7500000000000004E-2</v>
      </c>
      <c r="AS4" s="62">
        <v>7.7499999999999999E-2</v>
      </c>
      <c r="AT4" s="62">
        <v>8.7499999999999994E-2</v>
      </c>
      <c r="AU4" s="60">
        <v>13856800000</v>
      </c>
      <c r="AV4" s="60">
        <v>5741500000</v>
      </c>
      <c r="AW4" s="60">
        <v>-1097600000</v>
      </c>
      <c r="AX4" s="66"/>
      <c r="AY4" s="60">
        <v>63134800000</v>
      </c>
      <c r="AZ4" s="60">
        <v>960900000</v>
      </c>
      <c r="BA4" s="60">
        <v>4779500000</v>
      </c>
      <c r="BB4" s="60">
        <v>5353500000</v>
      </c>
      <c r="BC4" s="60">
        <v>380000000</v>
      </c>
      <c r="BD4" s="60">
        <v>0</v>
      </c>
      <c r="BE4" s="60">
        <v>1123300000</v>
      </c>
      <c r="BF4" s="60">
        <v>13800000</v>
      </c>
      <c r="BG4" s="60">
        <v>2364500000</v>
      </c>
      <c r="BH4" s="60">
        <v>-3927200000</v>
      </c>
      <c r="BI4" s="60">
        <v>-16500000</v>
      </c>
      <c r="BJ4" s="60">
        <f>BI4+BH4</f>
        <v>-3943700000</v>
      </c>
      <c r="BK4" s="60">
        <v>-35700000</v>
      </c>
      <c r="BL4" s="60">
        <v>0</v>
      </c>
      <c r="BM4" s="60"/>
      <c r="BN4" s="60">
        <v>65401400000</v>
      </c>
      <c r="BO4" s="60">
        <v>5741500000</v>
      </c>
    </row>
    <row r="5" spans="1:67" x14ac:dyDescent="0.35">
      <c r="A5" s="58" t="s">
        <v>319</v>
      </c>
      <c r="B5" s="58">
        <f>B4+1</f>
        <v>2016</v>
      </c>
      <c r="C5" s="59">
        <v>42004</v>
      </c>
      <c r="D5" s="59">
        <v>42185</v>
      </c>
      <c r="E5" s="59">
        <v>42551</v>
      </c>
      <c r="F5" s="60">
        <v>136435</v>
      </c>
      <c r="G5" s="61">
        <f>198055+17307</f>
        <v>215362</v>
      </c>
      <c r="H5" s="60">
        <f>98+2141</f>
        <v>2239</v>
      </c>
      <c r="I5" s="60"/>
      <c r="J5" s="61">
        <f>136435+217601</f>
        <v>354036</v>
      </c>
      <c r="K5" s="62">
        <v>7.4999999999999997E-2</v>
      </c>
      <c r="O5" s="62">
        <v>7.7499999999999999E-2</v>
      </c>
      <c r="P5" s="62">
        <v>7.4999999999999997E-2</v>
      </c>
      <c r="Q5" s="60">
        <v>77094400000</v>
      </c>
      <c r="R5" s="60">
        <v>62082100000</v>
      </c>
      <c r="S5" s="60">
        <v>15012300000</v>
      </c>
      <c r="T5" s="63">
        <v>0.80500000000000005</v>
      </c>
      <c r="U5" s="60">
        <v>9428440000</v>
      </c>
      <c r="V5" s="60">
        <v>2690015452</v>
      </c>
      <c r="W5" s="61">
        <v>6938845605</v>
      </c>
      <c r="X5" s="61">
        <v>274599936</v>
      </c>
      <c r="Y5" s="64">
        <f t="shared" si="0"/>
        <v>9.983846744530378E-2</v>
      </c>
      <c r="Z5" s="64">
        <f t="shared" si="1"/>
        <v>9.983846744530378E-2</v>
      </c>
      <c r="AA5" s="60">
        <v>941321000</v>
      </c>
      <c r="AB5" s="60">
        <v>941321000</v>
      </c>
      <c r="AC5" s="65">
        <f t="shared" si="2"/>
        <v>0</v>
      </c>
      <c r="AD5" s="64">
        <f t="shared" si="3"/>
        <v>1</v>
      </c>
      <c r="AE5" s="60">
        <v>1016800000</v>
      </c>
      <c r="AF5" s="60">
        <v>5355300000</v>
      </c>
      <c r="AG5" s="60">
        <v>0</v>
      </c>
      <c r="AJ5" s="60">
        <v>-14200000</v>
      </c>
      <c r="AM5" s="60">
        <v>40500000</v>
      </c>
      <c r="AN5" s="60"/>
      <c r="AO5" s="60"/>
      <c r="AQ5" s="60">
        <v>2690015452</v>
      </c>
      <c r="AR5" s="62">
        <v>6.5000000000000002E-2</v>
      </c>
      <c r="AS5" s="62">
        <v>7.4999999999999997E-2</v>
      </c>
      <c r="AT5" s="62">
        <v>8.5000000000000006E-2</v>
      </c>
      <c r="AU5" s="60">
        <v>24239900000</v>
      </c>
      <c r="AV5" s="60">
        <v>15012300000</v>
      </c>
      <c r="AW5" s="60">
        <v>7299700000</v>
      </c>
      <c r="AX5" s="66"/>
      <c r="AY5" s="60">
        <v>70665100000</v>
      </c>
      <c r="AZ5" s="60">
        <v>1016800000</v>
      </c>
      <c r="BA5" s="60">
        <v>5355300000</v>
      </c>
      <c r="BB5" s="60">
        <v>0</v>
      </c>
      <c r="BC5" s="60">
        <v>317300000</v>
      </c>
      <c r="BD5" s="60">
        <v>3946400000</v>
      </c>
      <c r="BE5" s="60">
        <v>977300000</v>
      </c>
      <c r="BF5" s="60">
        <v>14200000</v>
      </c>
      <c r="BG5" s="60">
        <v>413900000</v>
      </c>
      <c r="BH5" s="60">
        <v>-4193300000</v>
      </c>
      <c r="BI5" s="60">
        <v>-13100000</v>
      </c>
      <c r="BJ5" s="60">
        <f>BI5+BH5</f>
        <v>-4206400000</v>
      </c>
      <c r="BK5" s="60">
        <v>-40500000</v>
      </c>
      <c r="BL5" s="60">
        <v>0</v>
      </c>
      <c r="BM5" s="60"/>
      <c r="BN5" s="60">
        <v>64923600000</v>
      </c>
      <c r="BO5" s="60">
        <v>15012300000</v>
      </c>
    </row>
    <row r="6" spans="1:67" x14ac:dyDescent="0.35">
      <c r="A6" s="58" t="s">
        <v>319</v>
      </c>
      <c r="B6" s="58">
        <f>B5+1</f>
        <v>2017</v>
      </c>
      <c r="C6" s="59">
        <v>42369</v>
      </c>
      <c r="D6" s="59">
        <v>42551</v>
      </c>
      <c r="E6" s="59">
        <v>42916</v>
      </c>
      <c r="F6" s="60">
        <v>141015</v>
      </c>
      <c r="G6" s="61">
        <f>200157+16816</f>
        <v>216973</v>
      </c>
      <c r="H6" s="60">
        <f>1850+191</f>
        <v>2041</v>
      </c>
      <c r="I6" s="60"/>
      <c r="J6" s="61">
        <f>141015+219014</f>
        <v>360029</v>
      </c>
      <c r="K6" s="62">
        <v>7.4999999999999997E-2</v>
      </c>
      <c r="O6" s="62">
        <v>7.4999999999999997E-2</v>
      </c>
      <c r="P6" s="62">
        <v>7.4999999999999997E-2</v>
      </c>
      <c r="Q6" s="60">
        <v>79851700000</v>
      </c>
      <c r="R6" s="60">
        <v>66371700000</v>
      </c>
      <c r="S6" s="60">
        <v>13480000000</v>
      </c>
      <c r="T6" s="63">
        <v>0.83099999999999996</v>
      </c>
      <c r="U6" s="60">
        <v>10037500000</v>
      </c>
      <c r="V6" s="60">
        <v>2906216056</v>
      </c>
      <c r="W6" s="61">
        <v>3644711689</v>
      </c>
      <c r="X6" s="61">
        <v>396764899</v>
      </c>
      <c r="Y6" s="64">
        <f t="shared" si="0"/>
        <v>9.5666650062266503E-2</v>
      </c>
      <c r="Z6" s="64">
        <f t="shared" si="1"/>
        <v>9.5666650062266503E-2</v>
      </c>
      <c r="AA6" s="60">
        <v>960254000</v>
      </c>
      <c r="AB6" s="60">
        <v>960254000</v>
      </c>
      <c r="AC6" s="65">
        <f t="shared" si="2"/>
        <v>0</v>
      </c>
      <c r="AD6" s="64">
        <f t="shared" si="3"/>
        <v>1</v>
      </c>
      <c r="AE6" s="60">
        <v>1105500000</v>
      </c>
      <c r="AF6" s="60">
        <v>5662200000</v>
      </c>
      <c r="AG6" s="60">
        <v>0</v>
      </c>
      <c r="AJ6" s="60">
        <v>-13100000</v>
      </c>
      <c r="AM6" s="60">
        <v>43500000</v>
      </c>
      <c r="AN6" s="60"/>
      <c r="AO6" s="60"/>
      <c r="AQ6" s="60">
        <v>2906216056</v>
      </c>
      <c r="AR6" s="62">
        <v>6.5000000000000002E-2</v>
      </c>
      <c r="AS6" s="62">
        <v>7.4999999999999997E-2</v>
      </c>
      <c r="AT6" s="62">
        <v>8.5000000000000006E-2</v>
      </c>
      <c r="AU6" s="60">
        <f>22972.4*1000000</f>
        <v>22972400000</v>
      </c>
      <c r="AV6" s="60">
        <f>13480*1000000</f>
        <v>13480000000</v>
      </c>
      <c r="AW6" s="60">
        <f>5542.6*1000000</f>
        <v>5542600000</v>
      </c>
      <c r="AY6" s="60">
        <v>77094400000</v>
      </c>
      <c r="AZ6" s="60">
        <v>1105500000</v>
      </c>
      <c r="BA6" s="60">
        <v>5662200000</v>
      </c>
      <c r="BB6" s="60">
        <v>0</v>
      </c>
      <c r="BC6" s="60">
        <v>351800000</v>
      </c>
      <c r="BD6" s="60">
        <v>0</v>
      </c>
      <c r="BE6" s="60">
        <v>1022200000</v>
      </c>
      <c r="BF6" s="60">
        <v>13100000</v>
      </c>
      <c r="BG6" s="60">
        <v>7660000000</v>
      </c>
      <c r="BH6" s="60">
        <v>-4362200000</v>
      </c>
      <c r="BI6" s="60">
        <v>0</v>
      </c>
      <c r="BJ6" s="60">
        <f>BI6+BH6</f>
        <v>-4362200000</v>
      </c>
      <c r="BK6" s="60">
        <v>-43500000</v>
      </c>
      <c r="BL6" s="60">
        <v>0</v>
      </c>
      <c r="BM6" s="60"/>
      <c r="BN6" s="60">
        <v>62082100000</v>
      </c>
      <c r="BO6" s="60">
        <v>13480000000</v>
      </c>
    </row>
    <row r="7" spans="1:67" x14ac:dyDescent="0.35">
      <c r="A7" s="58" t="s">
        <v>319</v>
      </c>
      <c r="B7" s="58">
        <f>B6+1</f>
        <v>2018</v>
      </c>
      <c r="C7" s="59">
        <v>42735</v>
      </c>
      <c r="D7" s="59">
        <v>42916</v>
      </c>
      <c r="E7" s="59">
        <v>43281</v>
      </c>
      <c r="F7" s="60">
        <v>145863</v>
      </c>
      <c r="G7" s="61">
        <f>202912+17268</f>
        <v>220180</v>
      </c>
      <c r="H7" s="60">
        <f>1728+82</f>
        <v>1810</v>
      </c>
      <c r="I7" s="60"/>
      <c r="J7" s="61">
        <f>145863+221990</f>
        <v>367853</v>
      </c>
      <c r="K7" s="62">
        <v>7.1999999999999995E-2</v>
      </c>
      <c r="O7" s="62">
        <v>7.4999999999999997E-2</v>
      </c>
      <c r="P7" s="62">
        <v>7.1999999999999995E-2</v>
      </c>
      <c r="Q7" s="60">
        <v>84476100000</v>
      </c>
      <c r="R7" s="60">
        <v>69327500000</v>
      </c>
      <c r="S7" s="60">
        <v>15148600000</v>
      </c>
      <c r="T7" s="63">
        <v>0.82099999999999995</v>
      </c>
      <c r="U7" s="60">
        <v>10044000000</v>
      </c>
      <c r="V7" s="60">
        <v>2942037584</v>
      </c>
      <c r="W7" s="61">
        <v>4496312546</v>
      </c>
      <c r="X7" s="61">
        <v>1131646793</v>
      </c>
      <c r="Y7" s="64">
        <f t="shared" si="0"/>
        <v>0.13128952608522501</v>
      </c>
      <c r="Z7" s="64">
        <f t="shared" si="1"/>
        <v>0.13128952608522501</v>
      </c>
      <c r="AA7" s="60">
        <v>1318672000</v>
      </c>
      <c r="AB7" s="60">
        <v>1318672000</v>
      </c>
      <c r="AC7" s="65">
        <f t="shared" si="2"/>
        <v>0</v>
      </c>
      <c r="AD7" s="64">
        <f t="shared" si="3"/>
        <v>1</v>
      </c>
      <c r="AE7" s="60">
        <v>1108200000</v>
      </c>
      <c r="AF7" s="60">
        <v>5858200000</v>
      </c>
      <c r="AG7" s="60">
        <v>0</v>
      </c>
      <c r="AJ7" s="60">
        <v>-12600000</v>
      </c>
      <c r="AM7" s="60">
        <v>37800000</v>
      </c>
      <c r="AN7" s="60"/>
      <c r="AO7" s="60"/>
      <c r="AQ7" s="60">
        <v>2942037584</v>
      </c>
      <c r="AR7" s="62">
        <v>6.2E-2</v>
      </c>
      <c r="AS7" s="62">
        <v>7.1999999999999995E-2</v>
      </c>
      <c r="AT7" s="62">
        <v>8.2000000000000003E-2</v>
      </c>
      <c r="AU7" s="60">
        <v>25316300000</v>
      </c>
      <c r="AV7" s="60">
        <v>15148600000</v>
      </c>
      <c r="AW7" s="60">
        <v>6756100000</v>
      </c>
      <c r="AY7" s="60">
        <v>79851700000</v>
      </c>
      <c r="AZ7" s="60">
        <v>1108200000</v>
      </c>
      <c r="BA7" s="60">
        <v>5858200000</v>
      </c>
      <c r="BB7" s="60">
        <v>0</v>
      </c>
      <c r="BC7" s="60">
        <v>74300000</v>
      </c>
      <c r="BD7" s="60">
        <v>2240300000</v>
      </c>
      <c r="BE7" s="60">
        <v>1390100000</v>
      </c>
      <c r="BF7" s="60">
        <v>12600000</v>
      </c>
      <c r="BG7" s="60">
        <v>6247500000</v>
      </c>
      <c r="BH7" s="60">
        <v>-4642700000</v>
      </c>
      <c r="BI7" s="60">
        <v>-13900000</v>
      </c>
      <c r="BJ7" s="60">
        <f>BI7+BH7</f>
        <v>-4656600000</v>
      </c>
      <c r="BK7" s="60">
        <v>-37800000</v>
      </c>
      <c r="BL7" s="60">
        <v>0</v>
      </c>
      <c r="BM7" s="60"/>
      <c r="BN7" s="60">
        <v>66371700000</v>
      </c>
      <c r="BO7" s="60">
        <v>15148600000</v>
      </c>
    </row>
    <row r="8" spans="1:67" x14ac:dyDescent="0.35">
      <c r="A8" s="58" t="s">
        <v>319</v>
      </c>
      <c r="B8" s="58">
        <v>2019</v>
      </c>
      <c r="C8" s="59">
        <v>43100</v>
      </c>
      <c r="D8" s="59">
        <v>43281</v>
      </c>
      <c r="E8" s="59">
        <v>43646</v>
      </c>
      <c r="F8" s="60">
        <f>137314+12072</f>
        <v>149386</v>
      </c>
      <c r="G8" s="61">
        <f>205822+17623</f>
        <v>223445</v>
      </c>
      <c r="H8" s="60">
        <f>1589+79</f>
        <v>1668</v>
      </c>
      <c r="I8" s="60"/>
      <c r="J8" s="61">
        <f>149386+225113</f>
        <v>374499</v>
      </c>
      <c r="K8" s="62">
        <v>7.1999999999999995E-2</v>
      </c>
      <c r="O8" s="62">
        <v>7.1999999999999995E-2</v>
      </c>
      <c r="P8" s="62">
        <v>7.1999999999999995E-2</v>
      </c>
      <c r="Q8" s="60">
        <v>87501200000</v>
      </c>
      <c r="R8" s="60">
        <v>70203700000</v>
      </c>
      <c r="S8" s="60">
        <v>17297500000</v>
      </c>
      <c r="T8" s="63">
        <v>0.80200000000000005</v>
      </c>
      <c r="U8" s="60">
        <v>10716700000</v>
      </c>
      <c r="V8" s="60">
        <v>4423611518</v>
      </c>
      <c r="W8" s="61">
        <v>3941702859</v>
      </c>
      <c r="X8" s="61">
        <v>1131542968</v>
      </c>
      <c r="Y8" s="64">
        <f t="shared" si="0"/>
        <v>0.13166049250235615</v>
      </c>
      <c r="Z8" s="64">
        <f t="shared" si="1"/>
        <v>0.13166049250235615</v>
      </c>
      <c r="AA8" s="60">
        <v>1410966000</v>
      </c>
      <c r="AB8" s="60">
        <v>1410966000</v>
      </c>
      <c r="AC8" s="65">
        <f t="shared" si="2"/>
        <v>0</v>
      </c>
      <c r="AD8" s="64">
        <f t="shared" si="3"/>
        <v>1</v>
      </c>
      <c r="AE8" s="60">
        <v>1146400000</v>
      </c>
      <c r="AF8" s="60">
        <v>5952100000</v>
      </c>
      <c r="AG8" s="60">
        <v>0</v>
      </c>
      <c r="AJ8" s="60">
        <v>-11400000</v>
      </c>
      <c r="AM8" s="60">
        <v>38400000</v>
      </c>
      <c r="AN8" s="60"/>
      <c r="AO8" s="60"/>
      <c r="AQ8" s="60">
        <v>4423711518</v>
      </c>
      <c r="AR8" s="62">
        <v>6.2E-2</v>
      </c>
      <c r="AS8" s="62">
        <v>7.1999999999999995E-2</v>
      </c>
      <c r="AT8" s="62">
        <v>8.2000000000000003E-2</v>
      </c>
      <c r="AU8" s="60">
        <v>27700600000</v>
      </c>
      <c r="AV8" s="60">
        <v>17297500000</v>
      </c>
      <c r="AW8" s="60">
        <v>8591700000</v>
      </c>
      <c r="AY8" s="60">
        <v>84476100000</v>
      </c>
      <c r="AZ8" s="60">
        <v>1146400000</v>
      </c>
      <c r="BA8" s="60">
        <v>5952100000</v>
      </c>
      <c r="BB8" s="60">
        <v>0</v>
      </c>
      <c r="BC8" s="60">
        <v>804200000</v>
      </c>
      <c r="BD8" s="60">
        <v>0</v>
      </c>
      <c r="BE8" s="60">
        <v>1720200000</v>
      </c>
      <c r="BF8" s="60">
        <v>11400000</v>
      </c>
      <c r="BG8" s="60">
        <v>4010000000</v>
      </c>
      <c r="BH8" s="60">
        <v>-4815100000</v>
      </c>
      <c r="BI8" s="60">
        <v>-11900000</v>
      </c>
      <c r="BJ8" s="60">
        <f>BI8+BH8</f>
        <v>-4827000000</v>
      </c>
      <c r="BK8" s="60">
        <v>-38400000</v>
      </c>
      <c r="BL8" s="60">
        <v>-50600000</v>
      </c>
      <c r="BM8" s="60">
        <v>0</v>
      </c>
      <c r="BN8" s="60">
        <v>69327500000</v>
      </c>
      <c r="BO8" s="60">
        <v>17297500000</v>
      </c>
    </row>
    <row r="9" spans="1:67" x14ac:dyDescent="0.35">
      <c r="A9" s="58" t="s">
        <v>319</v>
      </c>
      <c r="B9" s="58">
        <v>2020</v>
      </c>
      <c r="C9" s="59">
        <v>43465</v>
      </c>
      <c r="D9" s="59">
        <v>43646</v>
      </c>
      <c r="E9" s="59">
        <v>44012</v>
      </c>
      <c r="F9" s="60">
        <f>141085+12537</f>
        <v>153622</v>
      </c>
      <c r="G9" s="61">
        <f>206055+17820</f>
        <v>223875</v>
      </c>
      <c r="H9" s="60">
        <f>1264+68</f>
        <v>1332</v>
      </c>
      <c r="I9" s="60"/>
      <c r="J9" s="61">
        <f>153622+225207</f>
        <v>378829</v>
      </c>
      <c r="K9" s="62">
        <v>7.1999999999999995E-2</v>
      </c>
      <c r="O9" s="62">
        <v>7.1999999999999995E-2</v>
      </c>
      <c r="P9" s="62">
        <v>7.1999999999999995E-2</v>
      </c>
      <c r="Q9" s="60">
        <v>90142700000</v>
      </c>
      <c r="R9" s="60">
        <v>68319300000</v>
      </c>
      <c r="S9" s="60">
        <v>21823400000</v>
      </c>
      <c r="T9" s="63">
        <v>0.75800000000000001</v>
      </c>
      <c r="U9" s="60">
        <v>11574800000</v>
      </c>
      <c r="V9" s="60">
        <v>4978193411</v>
      </c>
      <c r="W9" s="61">
        <v>4697843321</v>
      </c>
      <c r="X9" s="61">
        <v>41036247</v>
      </c>
      <c r="Y9" s="64">
        <f t="shared" ref="Y9:Y10" si="4">AA9/U9</f>
        <v>0.17122913570860834</v>
      </c>
      <c r="Z9" s="64">
        <f t="shared" ref="Z9:Z10" si="5">AB9/U9</f>
        <v>0.17122913570860834</v>
      </c>
      <c r="AA9" s="60">
        <v>1981943000</v>
      </c>
      <c r="AB9" s="60">
        <v>1981943000</v>
      </c>
      <c r="AC9" s="65">
        <f t="shared" ref="AC9:AC10" si="6">AA9-AB9</f>
        <v>0</v>
      </c>
      <c r="AD9" s="64">
        <f t="shared" ref="AD9:AD10" si="7">AB9/AA9</f>
        <v>1</v>
      </c>
      <c r="AE9" s="60">
        <v>1187200150</v>
      </c>
      <c r="AF9" s="60">
        <v>6162928445</v>
      </c>
      <c r="AG9" s="60">
        <v>0</v>
      </c>
      <c r="AH9" s="61">
        <v>400064747</v>
      </c>
      <c r="AI9" s="61">
        <v>1165879183</v>
      </c>
      <c r="AJ9" s="60">
        <v>-10179238</v>
      </c>
      <c r="AK9" s="60">
        <v>-4955347935</v>
      </c>
      <c r="AL9" s="60">
        <v>975564688</v>
      </c>
      <c r="AM9" s="60">
        <v>52083371</v>
      </c>
      <c r="AN9" s="60"/>
      <c r="AO9" s="60"/>
      <c r="AQ9" s="60">
        <v>4978193411</v>
      </c>
      <c r="AR9" s="62">
        <v>6.2E-2</v>
      </c>
      <c r="AS9" s="62">
        <v>7.1999999999999995E-2</v>
      </c>
      <c r="AT9" s="62">
        <v>8.2000000000000003E-2</v>
      </c>
      <c r="AU9" s="60">
        <v>32406000000</v>
      </c>
      <c r="AV9" s="60">
        <v>21823400000</v>
      </c>
      <c r="AW9" s="60">
        <v>12949500000</v>
      </c>
      <c r="AY9" s="60">
        <v>87501200000</v>
      </c>
      <c r="AZ9" s="60">
        <v>1187200000</v>
      </c>
      <c r="BA9" s="60">
        <v>6162900000</v>
      </c>
      <c r="BB9" s="60">
        <v>0</v>
      </c>
      <c r="BC9" s="60">
        <v>406700000</v>
      </c>
      <c r="BD9" s="60">
        <v>-50500000</v>
      </c>
      <c r="BE9" s="60">
        <v>2299000000</v>
      </c>
      <c r="BF9" s="60">
        <v>10200000</v>
      </c>
      <c r="BG9" s="60">
        <v>923300000</v>
      </c>
      <c r="BH9" s="60">
        <v>-5064800000</v>
      </c>
      <c r="BI9" s="60">
        <v>0</v>
      </c>
      <c r="BJ9" s="60">
        <v>-5064800000</v>
      </c>
      <c r="BK9" s="60">
        <v>-52100000</v>
      </c>
      <c r="BL9" s="60">
        <v>0</v>
      </c>
      <c r="BM9" s="60"/>
      <c r="BN9" s="60">
        <v>70203700000</v>
      </c>
      <c r="BO9" s="60">
        <v>21823400000</v>
      </c>
    </row>
    <row r="10" spans="1:67" x14ac:dyDescent="0.35">
      <c r="A10" s="58" t="s">
        <v>319</v>
      </c>
      <c r="B10" s="58">
        <v>2021</v>
      </c>
      <c r="C10" s="59">
        <v>43830</v>
      </c>
      <c r="D10" s="59">
        <v>44012</v>
      </c>
      <c r="E10" s="59">
        <v>44377</v>
      </c>
      <c r="F10" s="60">
        <v>156500</v>
      </c>
      <c r="G10" s="61">
        <f>209298+18178</f>
        <v>227476</v>
      </c>
      <c r="H10" s="60">
        <f>949+57</f>
        <v>1006</v>
      </c>
      <c r="J10" s="61">
        <f>156500+228482</f>
        <v>384982</v>
      </c>
      <c r="K10" s="62">
        <v>6.9000000000000006E-2</v>
      </c>
      <c r="O10" s="62">
        <v>7.1999999999999995E-2</v>
      </c>
      <c r="P10" s="62">
        <v>6.9000000000000006E-2</v>
      </c>
      <c r="Q10" s="60">
        <f>96297800000</f>
        <v>96297800000</v>
      </c>
      <c r="R10" s="60">
        <f>84331300000</f>
        <v>84331300000</v>
      </c>
      <c r="S10" s="60">
        <f>11966500000</f>
        <v>11966500000</v>
      </c>
      <c r="T10" s="63">
        <v>0.876</v>
      </c>
      <c r="U10" s="60">
        <f>12235500000</f>
        <v>12235500000</v>
      </c>
      <c r="V10" s="60">
        <v>1735772622</v>
      </c>
      <c r="W10" s="61">
        <v>4115710942</v>
      </c>
      <c r="X10" s="67">
        <v>-8890185260</v>
      </c>
      <c r="Y10" s="64">
        <f t="shared" si="4"/>
        <v>0.16823856810101753</v>
      </c>
      <c r="Z10" s="64">
        <f t="shared" si="5"/>
        <v>0.16823856810101753</v>
      </c>
      <c r="AA10" s="60">
        <v>2058483000</v>
      </c>
      <c r="AB10" s="60">
        <v>2058483000</v>
      </c>
      <c r="AC10" s="65">
        <f t="shared" si="6"/>
        <v>0</v>
      </c>
      <c r="AD10" s="64">
        <f t="shared" si="7"/>
        <v>1</v>
      </c>
      <c r="AE10" s="60">
        <v>1263516619</v>
      </c>
      <c r="AF10" s="60">
        <v>6349290684</v>
      </c>
      <c r="AG10" s="60">
        <v>148488939</v>
      </c>
      <c r="AH10" s="61">
        <v>441296872</v>
      </c>
      <c r="AI10" s="61">
        <v>1207974794</v>
      </c>
      <c r="AJ10" s="60">
        <v>-160309347</v>
      </c>
      <c r="AK10" s="60">
        <v>-4813347624</v>
      </c>
      <c r="AL10" s="60">
        <v>-2760222715</v>
      </c>
      <c r="AM10" s="60">
        <v>59084400</v>
      </c>
      <c r="AN10" s="60"/>
      <c r="AO10" s="60"/>
      <c r="AP10" s="60"/>
      <c r="AQ10" s="60">
        <v>1735772622</v>
      </c>
      <c r="AR10" s="62">
        <v>5.8999999999999997E-2</v>
      </c>
      <c r="AS10" s="62">
        <v>6.9000000000000006E-2</v>
      </c>
      <c r="AT10" s="62">
        <v>7.9000000000000001E-2</v>
      </c>
      <c r="AU10" s="60">
        <f>23499.3*1000000</f>
        <v>23499300000</v>
      </c>
      <c r="AV10" s="60">
        <f>11966.5*1000000</f>
        <v>11966500000</v>
      </c>
      <c r="AW10" s="60">
        <f>2317.7*1000000</f>
        <v>2317700000</v>
      </c>
      <c r="AY10" s="60">
        <v>90142700000</v>
      </c>
      <c r="AZ10" s="60">
        <v>1263500000</v>
      </c>
      <c r="BA10" s="60">
        <v>6349300000</v>
      </c>
      <c r="BB10" s="60">
        <v>0</v>
      </c>
      <c r="BC10" s="60">
        <v>600900000</v>
      </c>
      <c r="BD10" s="60">
        <v>3041900000</v>
      </c>
      <c r="BE10" s="60">
        <v>2161500000</v>
      </c>
      <c r="BF10" s="60">
        <v>160300000</v>
      </c>
      <c r="BG10" s="60">
        <v>18998400000</v>
      </c>
      <c r="BH10" s="60">
        <v>-5237200000</v>
      </c>
      <c r="BI10" s="60">
        <v>-11900000</v>
      </c>
      <c r="BJ10" s="60">
        <v>-5249000000</v>
      </c>
      <c r="BK10" s="60">
        <v>-59100000</v>
      </c>
      <c r="BL10" s="61">
        <v>148500000</v>
      </c>
      <c r="BN10" s="60">
        <v>68319300000</v>
      </c>
      <c r="BO10" s="60">
        <v>11966500000</v>
      </c>
    </row>
    <row r="11" spans="1:67" x14ac:dyDescent="0.35">
      <c r="A11" s="58" t="s">
        <v>319</v>
      </c>
      <c r="B11" s="58">
        <v>2022</v>
      </c>
      <c r="C11" s="59">
        <v>44196</v>
      </c>
      <c r="D11" s="59">
        <v>44377</v>
      </c>
      <c r="E11" s="59">
        <v>44742</v>
      </c>
      <c r="F11" s="61">
        <f>146712+13614</f>
        <v>160326</v>
      </c>
      <c r="G11" s="61">
        <f>49320+2494</f>
        <v>51814</v>
      </c>
      <c r="H11" s="61"/>
      <c r="I11" s="61">
        <v>180940</v>
      </c>
      <c r="J11" s="60">
        <v>393080</v>
      </c>
      <c r="K11" s="62">
        <v>6.9000000000000006E-2</v>
      </c>
      <c r="O11" s="62">
        <v>6.9000000000000006E-2</v>
      </c>
      <c r="P11" s="62">
        <v>6.9000000000000006E-2</v>
      </c>
      <c r="Q11" s="61">
        <v>99081600000</v>
      </c>
      <c r="R11" s="61">
        <v>83769600000</v>
      </c>
      <c r="S11" s="61">
        <v>15312000000</v>
      </c>
      <c r="T11" s="62">
        <v>0.84499999999999997</v>
      </c>
      <c r="U11" s="67">
        <v>12942600000</v>
      </c>
      <c r="V11" s="67">
        <v>2310328483</v>
      </c>
      <c r="W11" s="67">
        <v>3145810911</v>
      </c>
      <c r="X11" s="67">
        <v>-2854928654</v>
      </c>
      <c r="Y11" s="64">
        <f t="shared" ref="Y11" si="8">AA11/U11</f>
        <v>0.16359332746125199</v>
      </c>
      <c r="Z11" s="64">
        <f t="shared" ref="Z11" si="9">AB11/U11</f>
        <v>0.16359332746125199</v>
      </c>
      <c r="AA11" s="61">
        <v>2117323000</v>
      </c>
      <c r="AB11" s="61">
        <v>2117323000</v>
      </c>
      <c r="AC11" s="65">
        <f t="shared" ref="AC11" si="10">AA11-AB11</f>
        <v>0</v>
      </c>
      <c r="AD11" s="64">
        <f t="shared" ref="AD11" si="11">AB11/AA11</f>
        <v>1</v>
      </c>
      <c r="AE11" s="60">
        <v>1387725706</v>
      </c>
      <c r="AF11" s="60">
        <v>6505613883</v>
      </c>
      <c r="AG11" s="60">
        <v>0</v>
      </c>
      <c r="AH11" s="68">
        <v>355646693</v>
      </c>
      <c r="AI11" s="68">
        <v>1073730175</v>
      </c>
      <c r="AJ11" s="60">
        <v>-160097904</v>
      </c>
      <c r="AK11" s="67">
        <v>-5773010152</v>
      </c>
      <c r="AL11" s="67">
        <v>-1137976286</v>
      </c>
      <c r="AM11" s="60">
        <v>58696368</v>
      </c>
      <c r="AN11" s="60"/>
      <c r="AO11" s="60"/>
      <c r="AP11" s="60"/>
      <c r="AQ11" s="60">
        <v>2310328483</v>
      </c>
      <c r="AR11" s="62">
        <v>5.8999999999999997E-2</v>
      </c>
      <c r="AS11" s="62">
        <v>6.9000000000000006E-2</v>
      </c>
      <c r="AT11" s="62">
        <v>7.9000000000000001E-2</v>
      </c>
      <c r="AU11" s="61">
        <v>27154500000</v>
      </c>
      <c r="AV11" s="61">
        <v>15312000000</v>
      </c>
      <c r="AW11" s="61">
        <v>5400400000</v>
      </c>
      <c r="AY11" s="61">
        <v>96297800000</v>
      </c>
      <c r="AZ11" s="61">
        <v>1387700000</v>
      </c>
      <c r="BA11" s="61">
        <v>6505600000</v>
      </c>
      <c r="BB11" s="61">
        <v>0</v>
      </c>
      <c r="BC11" s="60">
        <v>-116700000</v>
      </c>
      <c r="BD11" s="61">
        <v>490300000</v>
      </c>
      <c r="BE11" s="61">
        <v>4030200000</v>
      </c>
      <c r="BF11" s="61">
        <v>160100000</v>
      </c>
      <c r="BG11" s="61">
        <v>789800000</v>
      </c>
      <c r="BH11" s="60">
        <v>-5468200000</v>
      </c>
      <c r="BI11" s="60">
        <v>-14900000</v>
      </c>
      <c r="BJ11" s="60">
        <v>-5483100000</v>
      </c>
      <c r="BK11" s="60">
        <v>-58700000</v>
      </c>
      <c r="BL11" s="60">
        <v>0</v>
      </c>
      <c r="BN11" s="61">
        <v>84331300000</v>
      </c>
      <c r="BO11" s="61">
        <v>15312000000</v>
      </c>
    </row>
    <row r="12" spans="1:67" x14ac:dyDescent="0.35">
      <c r="AF12" s="60"/>
      <c r="AG12" s="60"/>
      <c r="AJ12" s="60"/>
      <c r="AM12" s="60"/>
      <c r="AN12" s="60"/>
      <c r="AO12" s="60"/>
      <c r="AP12" s="60"/>
      <c r="AQ12" s="60"/>
      <c r="AY12" s="60"/>
      <c r="AZ12" s="60"/>
      <c r="BH12" s="60"/>
      <c r="BI12" s="60"/>
      <c r="BM12" s="60"/>
      <c r="BN12" s="60"/>
    </row>
    <row r="13" spans="1:67" x14ac:dyDescent="0.35">
      <c r="A13" s="17" t="s">
        <v>129</v>
      </c>
      <c r="BN13" s="60"/>
    </row>
    <row r="14" spans="1:67" x14ac:dyDescent="0.35">
      <c r="A14" s="58" t="s">
        <v>319</v>
      </c>
      <c r="B14" s="58">
        <v>2014</v>
      </c>
      <c r="C14" s="58" t="s">
        <v>398</v>
      </c>
      <c r="E14" s="58" t="s">
        <v>399</v>
      </c>
      <c r="F14" s="58" t="s">
        <v>315</v>
      </c>
      <c r="G14" s="58" t="s">
        <v>315</v>
      </c>
      <c r="H14" s="58" t="s">
        <v>315</v>
      </c>
      <c r="J14" s="58" t="s">
        <v>315</v>
      </c>
      <c r="K14" s="58" t="s">
        <v>398</v>
      </c>
      <c r="P14" s="58" t="s">
        <v>398</v>
      </c>
      <c r="Q14" s="58" t="s">
        <v>398</v>
      </c>
      <c r="R14" s="58" t="s">
        <v>398</v>
      </c>
      <c r="S14" s="58" t="s">
        <v>398</v>
      </c>
      <c r="T14" s="58" t="s">
        <v>401</v>
      </c>
      <c r="U14" s="58" t="s">
        <v>400</v>
      </c>
      <c r="V14" s="58" t="s">
        <v>402</v>
      </c>
      <c r="W14" s="58" t="s">
        <v>402</v>
      </c>
      <c r="X14" s="58" t="s">
        <v>402</v>
      </c>
      <c r="AA14" s="58" t="s">
        <v>875</v>
      </c>
      <c r="AB14" s="58" t="s">
        <v>875</v>
      </c>
      <c r="AC14" s="58" t="s">
        <v>875</v>
      </c>
      <c r="AE14" s="58" t="s">
        <v>876</v>
      </c>
      <c r="AF14" s="58" t="s">
        <v>876</v>
      </c>
      <c r="AG14" s="58" t="s">
        <v>876</v>
      </c>
      <c r="AJ14" s="58" t="s">
        <v>876</v>
      </c>
      <c r="AM14" s="58" t="s">
        <v>876</v>
      </c>
      <c r="AQ14" s="58" t="s">
        <v>402</v>
      </c>
      <c r="AR14" s="58" t="s">
        <v>877</v>
      </c>
      <c r="AS14" s="58" t="s">
        <v>877</v>
      </c>
      <c r="AT14" s="58" t="s">
        <v>877</v>
      </c>
      <c r="AU14" s="58" t="s">
        <v>877</v>
      </c>
      <c r="AV14" s="58" t="s">
        <v>877</v>
      </c>
      <c r="AW14" s="58" t="s">
        <v>877</v>
      </c>
      <c r="AY14" s="58" t="s">
        <v>876</v>
      </c>
      <c r="AZ14" s="58" t="s">
        <v>876</v>
      </c>
      <c r="BA14" s="58" t="s">
        <v>876</v>
      </c>
      <c r="BB14" s="58" t="s">
        <v>876</v>
      </c>
      <c r="BC14" s="58" t="s">
        <v>876</v>
      </c>
      <c r="BD14" s="58" t="s">
        <v>876</v>
      </c>
      <c r="BE14" s="58" t="s">
        <v>876</v>
      </c>
      <c r="BF14" s="58" t="s">
        <v>876</v>
      </c>
      <c r="BG14" s="58" t="s">
        <v>876</v>
      </c>
      <c r="BH14" s="58" t="s">
        <v>876</v>
      </c>
      <c r="BI14" s="58" t="s">
        <v>876</v>
      </c>
      <c r="BJ14" s="58" t="s">
        <v>876</v>
      </c>
      <c r="BK14" s="58" t="s">
        <v>876</v>
      </c>
      <c r="BL14" s="58" t="s">
        <v>876</v>
      </c>
      <c r="BN14" s="58" t="s">
        <v>876</v>
      </c>
      <c r="BO14" s="58" t="s">
        <v>876</v>
      </c>
    </row>
    <row r="15" spans="1:67" x14ac:dyDescent="0.35">
      <c r="A15" s="58" t="s">
        <v>319</v>
      </c>
      <c r="B15" s="58">
        <f>B14+1</f>
        <v>2015</v>
      </c>
      <c r="C15" s="58" t="s">
        <v>406</v>
      </c>
      <c r="D15" s="58" t="s">
        <v>399</v>
      </c>
      <c r="E15" s="58" t="s">
        <v>406</v>
      </c>
      <c r="F15" s="58" t="s">
        <v>317</v>
      </c>
      <c r="G15" s="58" t="s">
        <v>317</v>
      </c>
      <c r="H15" s="58" t="s">
        <v>317</v>
      </c>
      <c r="J15" s="58" t="s">
        <v>317</v>
      </c>
      <c r="K15" s="58" t="s">
        <v>406</v>
      </c>
      <c r="O15" s="58" t="s">
        <v>398</v>
      </c>
      <c r="P15" s="58" t="s">
        <v>406</v>
      </c>
      <c r="Q15" s="58" t="s">
        <v>405</v>
      </c>
      <c r="R15" s="58" t="s">
        <v>405</v>
      </c>
      <c r="S15" s="58" t="s">
        <v>405</v>
      </c>
      <c r="T15" s="58" t="s">
        <v>878</v>
      </c>
      <c r="U15" s="58" t="s">
        <v>879</v>
      </c>
      <c r="V15" s="58" t="s">
        <v>404</v>
      </c>
      <c r="W15" s="58" t="s">
        <v>404</v>
      </c>
      <c r="X15" s="58" t="s">
        <v>404</v>
      </c>
      <c r="AA15" s="58" t="s">
        <v>879</v>
      </c>
      <c r="AB15" s="58" t="s">
        <v>879</v>
      </c>
      <c r="AC15" s="58" t="s">
        <v>879</v>
      </c>
      <c r="AE15" s="58" t="s">
        <v>880</v>
      </c>
      <c r="AF15" s="58" t="s">
        <v>880</v>
      </c>
      <c r="AG15" s="58" t="s">
        <v>880</v>
      </c>
      <c r="AJ15" s="58" t="s">
        <v>880</v>
      </c>
      <c r="AM15" s="58" t="s">
        <v>880</v>
      </c>
      <c r="AQ15" s="58" t="s">
        <v>404</v>
      </c>
      <c r="AR15" s="58" t="s">
        <v>881</v>
      </c>
      <c r="AS15" s="58" t="s">
        <v>881</v>
      </c>
      <c r="AT15" s="58" t="s">
        <v>881</v>
      </c>
      <c r="AU15" s="58" t="s">
        <v>881</v>
      </c>
      <c r="AV15" s="58" t="s">
        <v>881</v>
      </c>
      <c r="AW15" s="58" t="s">
        <v>881</v>
      </c>
      <c r="AY15" s="58" t="s">
        <v>880</v>
      </c>
      <c r="AZ15" s="58" t="s">
        <v>880</v>
      </c>
      <c r="BA15" s="58" t="s">
        <v>880</v>
      </c>
      <c r="BB15" s="58" t="s">
        <v>880</v>
      </c>
      <c r="BC15" s="58" t="s">
        <v>880</v>
      </c>
      <c r="BD15" s="58" t="s">
        <v>880</v>
      </c>
      <c r="BE15" s="58" t="s">
        <v>880</v>
      </c>
      <c r="BF15" s="58" t="s">
        <v>880</v>
      </c>
      <c r="BG15" s="58" t="s">
        <v>880</v>
      </c>
      <c r="BH15" s="58" t="s">
        <v>880</v>
      </c>
      <c r="BI15" s="58" t="s">
        <v>880</v>
      </c>
      <c r="BJ15" s="58" t="s">
        <v>880</v>
      </c>
      <c r="BK15" s="58" t="s">
        <v>880</v>
      </c>
      <c r="BL15" s="58" t="s">
        <v>880</v>
      </c>
      <c r="BN15" s="58" t="s">
        <v>880</v>
      </c>
      <c r="BO15" s="58" t="s">
        <v>880</v>
      </c>
    </row>
    <row r="16" spans="1:67" x14ac:dyDescent="0.35">
      <c r="A16" s="58" t="s">
        <v>319</v>
      </c>
      <c r="B16" s="58">
        <f>B15+1</f>
        <v>2016</v>
      </c>
      <c r="C16" s="58" t="s">
        <v>407</v>
      </c>
      <c r="D16" s="58" t="s">
        <v>406</v>
      </c>
      <c r="E16" s="58" t="s">
        <v>407</v>
      </c>
      <c r="F16" s="58" t="s">
        <v>408</v>
      </c>
      <c r="G16" s="58" t="s">
        <v>408</v>
      </c>
      <c r="H16" s="58" t="s">
        <v>408</v>
      </c>
      <c r="J16" s="58" t="s">
        <v>408</v>
      </c>
      <c r="K16" s="58" t="s">
        <v>407</v>
      </c>
      <c r="O16" s="58" t="s">
        <v>406</v>
      </c>
      <c r="P16" s="58" t="s">
        <v>407</v>
      </c>
      <c r="Q16" s="58" t="s">
        <v>409</v>
      </c>
      <c r="R16" s="58" t="s">
        <v>409</v>
      </c>
      <c r="S16" s="58" t="s">
        <v>409</v>
      </c>
      <c r="T16" s="58" t="s">
        <v>410</v>
      </c>
      <c r="U16" s="58" t="s">
        <v>410</v>
      </c>
      <c r="V16" s="58" t="s">
        <v>403</v>
      </c>
      <c r="W16" s="58" t="s">
        <v>403</v>
      </c>
      <c r="X16" s="58" t="s">
        <v>403</v>
      </c>
      <c r="AA16" s="58" t="s">
        <v>411</v>
      </c>
      <c r="AB16" s="58" t="s">
        <v>411</v>
      </c>
      <c r="AC16" s="58" t="s">
        <v>411</v>
      </c>
      <c r="AE16" s="58" t="s">
        <v>410</v>
      </c>
      <c r="AF16" s="58" t="s">
        <v>410</v>
      </c>
      <c r="AG16" s="58" t="s">
        <v>410</v>
      </c>
      <c r="AJ16" s="58" t="s">
        <v>410</v>
      </c>
      <c r="AM16" s="58" t="s">
        <v>410</v>
      </c>
      <c r="AQ16" s="58" t="s">
        <v>403</v>
      </c>
      <c r="AR16" s="58" t="s">
        <v>882</v>
      </c>
      <c r="AS16" s="58" t="s">
        <v>882</v>
      </c>
      <c r="AT16" s="58" t="s">
        <v>882</v>
      </c>
      <c r="AU16" s="58" t="s">
        <v>882</v>
      </c>
      <c r="AV16" s="58" t="s">
        <v>882</v>
      </c>
      <c r="AW16" s="58" t="s">
        <v>882</v>
      </c>
      <c r="AY16" s="58" t="s">
        <v>410</v>
      </c>
      <c r="AZ16" s="58" t="s">
        <v>410</v>
      </c>
      <c r="BA16" s="58" t="s">
        <v>410</v>
      </c>
      <c r="BB16" s="58" t="s">
        <v>410</v>
      </c>
      <c r="BC16" s="58" t="s">
        <v>410</v>
      </c>
      <c r="BD16" s="58" t="s">
        <v>883</v>
      </c>
      <c r="BE16" s="58" t="s">
        <v>883</v>
      </c>
      <c r="BF16" s="58" t="s">
        <v>883</v>
      </c>
      <c r="BG16" s="58" t="s">
        <v>883</v>
      </c>
      <c r="BH16" s="58" t="s">
        <v>883</v>
      </c>
      <c r="BI16" s="58" t="s">
        <v>883</v>
      </c>
      <c r="BJ16" s="58" t="s">
        <v>883</v>
      </c>
      <c r="BK16" s="58" t="s">
        <v>883</v>
      </c>
      <c r="BL16" s="58" t="s">
        <v>883</v>
      </c>
      <c r="BN16" s="58" t="s">
        <v>883</v>
      </c>
      <c r="BO16" s="58" t="s">
        <v>883</v>
      </c>
    </row>
    <row r="17" spans="1:67" x14ac:dyDescent="0.35">
      <c r="A17" s="58" t="s">
        <v>319</v>
      </c>
      <c r="B17" s="58">
        <f>B16+1</f>
        <v>2017</v>
      </c>
      <c r="C17" s="58" t="s">
        <v>417</v>
      </c>
      <c r="D17" s="58" t="s">
        <v>407</v>
      </c>
      <c r="E17" s="58" t="s">
        <v>417</v>
      </c>
      <c r="F17" s="58" t="s">
        <v>418</v>
      </c>
      <c r="G17" s="58" t="s">
        <v>418</v>
      </c>
      <c r="H17" s="58" t="s">
        <v>418</v>
      </c>
      <c r="J17" s="58" t="s">
        <v>418</v>
      </c>
      <c r="K17" s="58" t="s">
        <v>417</v>
      </c>
      <c r="O17" s="58" t="s">
        <v>407</v>
      </c>
      <c r="P17" s="58" t="s">
        <v>417</v>
      </c>
      <c r="Q17" s="58" t="s">
        <v>416</v>
      </c>
      <c r="R17" s="58" t="s">
        <v>416</v>
      </c>
      <c r="S17" s="58" t="s">
        <v>416</v>
      </c>
      <c r="T17" s="58" t="s">
        <v>412</v>
      </c>
      <c r="U17" s="58" t="s">
        <v>412</v>
      </c>
      <c r="V17" s="58" t="s">
        <v>415</v>
      </c>
      <c r="W17" s="58" t="s">
        <v>415</v>
      </c>
      <c r="X17" s="58" t="s">
        <v>415</v>
      </c>
      <c r="AA17" s="58" t="s">
        <v>414</v>
      </c>
      <c r="AB17" s="58" t="s">
        <v>414</v>
      </c>
      <c r="AC17" s="58" t="s">
        <v>414</v>
      </c>
      <c r="AE17" s="58" t="s">
        <v>412</v>
      </c>
      <c r="AF17" s="58" t="s">
        <v>412</v>
      </c>
      <c r="AG17" s="58" t="s">
        <v>412</v>
      </c>
      <c r="AJ17" s="58" t="s">
        <v>412</v>
      </c>
      <c r="AM17" s="58" t="s">
        <v>412</v>
      </c>
      <c r="AQ17" s="58" t="s">
        <v>415</v>
      </c>
      <c r="AR17" s="58" t="s">
        <v>413</v>
      </c>
      <c r="AS17" s="58" t="s">
        <v>413</v>
      </c>
      <c r="AT17" s="58" t="s">
        <v>413</v>
      </c>
      <c r="AU17" s="58" t="s">
        <v>413</v>
      </c>
      <c r="AV17" s="58" t="s">
        <v>413</v>
      </c>
      <c r="AW17" s="58" t="s">
        <v>413</v>
      </c>
      <c r="AY17" s="58" t="s">
        <v>412</v>
      </c>
      <c r="AZ17" s="58" t="s">
        <v>412</v>
      </c>
      <c r="BA17" s="58" t="s">
        <v>412</v>
      </c>
      <c r="BB17" s="58" t="s">
        <v>412</v>
      </c>
      <c r="BC17" s="58" t="s">
        <v>412</v>
      </c>
      <c r="BD17" s="58" t="s">
        <v>412</v>
      </c>
      <c r="BE17" s="58" t="s">
        <v>412</v>
      </c>
      <c r="BF17" s="58" t="s">
        <v>412</v>
      </c>
      <c r="BG17" s="58" t="s">
        <v>412</v>
      </c>
      <c r="BH17" s="58" t="s">
        <v>412</v>
      </c>
      <c r="BI17" s="58" t="s">
        <v>412</v>
      </c>
      <c r="BJ17" s="58" t="s">
        <v>412</v>
      </c>
      <c r="BK17" s="58" t="s">
        <v>412</v>
      </c>
      <c r="BL17" s="58" t="s">
        <v>412</v>
      </c>
      <c r="BN17" s="58" t="s">
        <v>412</v>
      </c>
      <c r="BO17" s="58" t="s">
        <v>412</v>
      </c>
    </row>
    <row r="18" spans="1:67" x14ac:dyDescent="0.35">
      <c r="A18" s="58" t="s">
        <v>319</v>
      </c>
      <c r="B18" s="58">
        <f>B17+1</f>
        <v>2018</v>
      </c>
      <c r="C18" s="58" t="s">
        <v>419</v>
      </c>
      <c r="D18" s="58" t="s">
        <v>417</v>
      </c>
      <c r="E18" s="58" t="s">
        <v>419</v>
      </c>
      <c r="F18" s="58" t="s">
        <v>424</v>
      </c>
      <c r="G18" s="58" t="s">
        <v>424</v>
      </c>
      <c r="H18" s="58" t="s">
        <v>424</v>
      </c>
      <c r="J18" s="58" t="s">
        <v>424</v>
      </c>
      <c r="K18" s="58" t="s">
        <v>419</v>
      </c>
      <c r="O18" s="58" t="s">
        <v>417</v>
      </c>
      <c r="P18" s="58" t="s">
        <v>419</v>
      </c>
      <c r="Q18" s="58" t="s">
        <v>420</v>
      </c>
      <c r="R18" s="58" t="s">
        <v>420</v>
      </c>
      <c r="S18" s="58" t="s">
        <v>420</v>
      </c>
      <c r="T18" s="58" t="s">
        <v>425</v>
      </c>
      <c r="U18" s="58" t="s">
        <v>425</v>
      </c>
      <c r="V18" s="58" t="s">
        <v>421</v>
      </c>
      <c r="W18" s="58" t="s">
        <v>421</v>
      </c>
      <c r="X18" s="58" t="s">
        <v>421</v>
      </c>
      <c r="AA18" s="58" t="s">
        <v>427</v>
      </c>
      <c r="AB18" s="58" t="s">
        <v>427</v>
      </c>
      <c r="AC18" s="58" t="s">
        <v>427</v>
      </c>
      <c r="AE18" s="58" t="s">
        <v>425</v>
      </c>
      <c r="AF18" s="58" t="s">
        <v>425</v>
      </c>
      <c r="AG18" s="58" t="s">
        <v>425</v>
      </c>
      <c r="AJ18" s="58" t="s">
        <v>425</v>
      </c>
      <c r="AM18" s="58" t="s">
        <v>425</v>
      </c>
      <c r="AQ18" s="58" t="s">
        <v>421</v>
      </c>
      <c r="AR18" s="58" t="s">
        <v>429</v>
      </c>
      <c r="AS18" s="58" t="s">
        <v>429</v>
      </c>
      <c r="AT18" s="58" t="s">
        <v>429</v>
      </c>
      <c r="AU18" s="58" t="s">
        <v>429</v>
      </c>
      <c r="AV18" s="58" t="s">
        <v>429</v>
      </c>
      <c r="AW18" s="58" t="s">
        <v>429</v>
      </c>
      <c r="AY18" s="58" t="s">
        <v>425</v>
      </c>
      <c r="AZ18" s="58" t="s">
        <v>425</v>
      </c>
      <c r="BA18" s="58" t="s">
        <v>425</v>
      </c>
      <c r="BB18" s="58" t="s">
        <v>425</v>
      </c>
      <c r="BC18" s="58" t="s">
        <v>425</v>
      </c>
      <c r="BD18" s="58" t="s">
        <v>425</v>
      </c>
      <c r="BE18" s="58" t="s">
        <v>425</v>
      </c>
      <c r="BF18" s="58" t="s">
        <v>425</v>
      </c>
      <c r="BG18" s="58" t="s">
        <v>425</v>
      </c>
      <c r="BH18" s="58" t="s">
        <v>425</v>
      </c>
      <c r="BI18" s="58" t="s">
        <v>425</v>
      </c>
      <c r="BJ18" s="58" t="s">
        <v>425</v>
      </c>
      <c r="BK18" s="58" t="s">
        <v>425</v>
      </c>
      <c r="BL18" s="58" t="s">
        <v>425</v>
      </c>
      <c r="BN18" s="58" t="s">
        <v>425</v>
      </c>
      <c r="BO18" s="58" t="s">
        <v>425</v>
      </c>
    </row>
    <row r="19" spans="1:67" x14ac:dyDescent="0.35">
      <c r="A19" s="58" t="s">
        <v>319</v>
      </c>
      <c r="B19" s="58">
        <v>2019</v>
      </c>
      <c r="C19" s="58" t="s">
        <v>422</v>
      </c>
      <c r="D19" s="58" t="s">
        <v>419</v>
      </c>
      <c r="E19" s="58" t="s">
        <v>422</v>
      </c>
      <c r="F19" s="58" t="s">
        <v>423</v>
      </c>
      <c r="G19" s="58" t="s">
        <v>423</v>
      </c>
      <c r="H19" s="58" t="s">
        <v>423</v>
      </c>
      <c r="J19" s="58" t="s">
        <v>423</v>
      </c>
      <c r="K19" s="58" t="s">
        <v>422</v>
      </c>
      <c r="O19" s="58" t="s">
        <v>419</v>
      </c>
      <c r="P19" s="58" t="s">
        <v>422</v>
      </c>
      <c r="Q19" s="58" t="s">
        <v>426</v>
      </c>
      <c r="R19" s="58" t="s">
        <v>426</v>
      </c>
      <c r="S19" s="58" t="s">
        <v>426</v>
      </c>
      <c r="T19" s="58" t="s">
        <v>426</v>
      </c>
      <c r="U19" s="58" t="s">
        <v>426</v>
      </c>
      <c r="V19" s="58" t="s">
        <v>650</v>
      </c>
      <c r="W19" s="58" t="s">
        <v>650</v>
      </c>
      <c r="X19" s="58" t="s">
        <v>650</v>
      </c>
      <c r="AA19" s="58" t="s">
        <v>428</v>
      </c>
      <c r="AB19" s="58" t="s">
        <v>428</v>
      </c>
      <c r="AC19" s="58" t="s">
        <v>428</v>
      </c>
      <c r="AE19" s="58" t="s">
        <v>426</v>
      </c>
      <c r="AF19" s="58" t="s">
        <v>426</v>
      </c>
      <c r="AG19" s="58" t="s">
        <v>426</v>
      </c>
      <c r="AJ19" s="58" t="s">
        <v>426</v>
      </c>
      <c r="AM19" s="58" t="s">
        <v>426</v>
      </c>
      <c r="AQ19" s="58" t="s">
        <v>650</v>
      </c>
      <c r="AR19" s="58" t="s">
        <v>422</v>
      </c>
      <c r="AS19" s="58" t="s">
        <v>422</v>
      </c>
      <c r="AT19" s="58" t="s">
        <v>422</v>
      </c>
      <c r="AU19" s="58" t="s">
        <v>422</v>
      </c>
      <c r="AV19" s="58" t="s">
        <v>422</v>
      </c>
      <c r="AW19" s="58" t="s">
        <v>422</v>
      </c>
      <c r="AY19" s="58" t="s">
        <v>426</v>
      </c>
      <c r="AZ19" s="58" t="s">
        <v>426</v>
      </c>
      <c r="BA19" s="58" t="s">
        <v>426</v>
      </c>
      <c r="BB19" s="58" t="s">
        <v>426</v>
      </c>
      <c r="BC19" s="58" t="s">
        <v>426</v>
      </c>
      <c r="BD19" s="58" t="s">
        <v>426</v>
      </c>
      <c r="BE19" s="58" t="s">
        <v>426</v>
      </c>
      <c r="BF19" s="58" t="s">
        <v>426</v>
      </c>
      <c r="BG19" s="58" t="s">
        <v>426</v>
      </c>
      <c r="BH19" s="58" t="s">
        <v>426</v>
      </c>
      <c r="BI19" s="58" t="s">
        <v>426</v>
      </c>
      <c r="BJ19" s="58" t="s">
        <v>426</v>
      </c>
      <c r="BK19" s="58" t="s">
        <v>426</v>
      </c>
      <c r="BL19" s="58" t="s">
        <v>426</v>
      </c>
      <c r="BN19" s="58" t="s">
        <v>426</v>
      </c>
      <c r="BO19" s="58" t="s">
        <v>426</v>
      </c>
    </row>
    <row r="20" spans="1:67" x14ac:dyDescent="0.35">
      <c r="A20" s="58" t="s">
        <v>319</v>
      </c>
      <c r="B20" s="58">
        <v>2020</v>
      </c>
      <c r="C20" s="58" t="s">
        <v>645</v>
      </c>
      <c r="D20" s="58" t="s">
        <v>422</v>
      </c>
      <c r="E20" s="58" t="s">
        <v>645</v>
      </c>
      <c r="F20" s="58" t="s">
        <v>651</v>
      </c>
      <c r="G20" s="58" t="s">
        <v>651</v>
      </c>
      <c r="H20" s="58" t="s">
        <v>651</v>
      </c>
      <c r="J20" s="58" t="s">
        <v>651</v>
      </c>
      <c r="K20" s="58" t="s">
        <v>645</v>
      </c>
      <c r="O20" s="58" t="s">
        <v>422</v>
      </c>
      <c r="P20" s="58" t="s">
        <v>645</v>
      </c>
      <c r="Q20" s="58" t="s">
        <v>645</v>
      </c>
      <c r="R20" s="58" t="s">
        <v>645</v>
      </c>
      <c r="S20" s="58" t="s">
        <v>645</v>
      </c>
      <c r="T20" s="58" t="s">
        <v>645</v>
      </c>
      <c r="U20" s="58" t="s">
        <v>647</v>
      </c>
      <c r="V20" s="58" t="s">
        <v>648</v>
      </c>
      <c r="W20" s="58" t="s">
        <v>648</v>
      </c>
      <c r="X20" s="58" t="s">
        <v>648</v>
      </c>
      <c r="AA20" s="58" t="s">
        <v>646</v>
      </c>
      <c r="AB20" s="58" t="s">
        <v>646</v>
      </c>
      <c r="AC20" s="58" t="s">
        <v>646</v>
      </c>
      <c r="AE20" s="58" t="s">
        <v>648</v>
      </c>
      <c r="AF20" s="58" t="s">
        <v>648</v>
      </c>
      <c r="AG20" s="58" t="s">
        <v>648</v>
      </c>
      <c r="AH20" s="58" t="s">
        <v>648</v>
      </c>
      <c r="AI20" s="58" t="s">
        <v>648</v>
      </c>
      <c r="AJ20" s="58" t="s">
        <v>648</v>
      </c>
      <c r="AK20" s="58" t="s">
        <v>648</v>
      </c>
      <c r="AL20" s="58" t="s">
        <v>648</v>
      </c>
      <c r="AM20" s="58" t="s">
        <v>648</v>
      </c>
      <c r="AQ20" s="58" t="s">
        <v>648</v>
      </c>
      <c r="AR20" s="58" t="s">
        <v>645</v>
      </c>
      <c r="AS20" s="58" t="s">
        <v>645</v>
      </c>
      <c r="AT20" s="58" t="s">
        <v>645</v>
      </c>
      <c r="AU20" s="58" t="s">
        <v>645</v>
      </c>
      <c r="AV20" s="58" t="s">
        <v>645</v>
      </c>
      <c r="AW20" s="58" t="s">
        <v>645</v>
      </c>
      <c r="AY20" s="58" t="s">
        <v>647</v>
      </c>
      <c r="AZ20" s="58" t="s">
        <v>647</v>
      </c>
      <c r="BA20" s="58" t="s">
        <v>647</v>
      </c>
      <c r="BB20" s="58" t="s">
        <v>647</v>
      </c>
      <c r="BC20" s="58" t="s">
        <v>647</v>
      </c>
      <c r="BD20" s="58" t="s">
        <v>647</v>
      </c>
      <c r="BE20" s="58" t="s">
        <v>647</v>
      </c>
      <c r="BF20" s="58" t="s">
        <v>647</v>
      </c>
      <c r="BG20" s="58" t="s">
        <v>647</v>
      </c>
      <c r="BH20" s="58" t="s">
        <v>647</v>
      </c>
      <c r="BI20" s="58" t="s">
        <v>647</v>
      </c>
      <c r="BJ20" s="58" t="s">
        <v>647</v>
      </c>
      <c r="BK20" s="58" t="s">
        <v>647</v>
      </c>
      <c r="BL20" s="58" t="s">
        <v>647</v>
      </c>
      <c r="BN20" s="58" t="s">
        <v>647</v>
      </c>
      <c r="BO20" s="58" t="s">
        <v>647</v>
      </c>
    </row>
    <row r="21" spans="1:67" x14ac:dyDescent="0.35">
      <c r="A21" s="58" t="s">
        <v>319</v>
      </c>
      <c r="B21" s="58">
        <v>2021</v>
      </c>
      <c r="C21" s="58" t="s">
        <v>849</v>
      </c>
      <c r="D21" s="58" t="s">
        <v>645</v>
      </c>
      <c r="E21" s="58" t="s">
        <v>849</v>
      </c>
      <c r="F21" s="58" t="s">
        <v>850</v>
      </c>
      <c r="G21" s="58" t="s">
        <v>850</v>
      </c>
      <c r="H21" s="58" t="s">
        <v>850</v>
      </c>
      <c r="J21" s="58" t="s">
        <v>850</v>
      </c>
      <c r="K21" s="58" t="s">
        <v>849</v>
      </c>
      <c r="O21" s="58" t="s">
        <v>645</v>
      </c>
      <c r="P21" s="58" t="s">
        <v>849</v>
      </c>
      <c r="Q21" s="58" t="s">
        <v>849</v>
      </c>
      <c r="R21" s="58" t="s">
        <v>849</v>
      </c>
      <c r="S21" s="58" t="s">
        <v>849</v>
      </c>
      <c r="T21" s="58" t="s">
        <v>849</v>
      </c>
      <c r="U21" s="58" t="s">
        <v>851</v>
      </c>
      <c r="V21" s="58" t="s">
        <v>852</v>
      </c>
      <c r="W21" s="58" t="s">
        <v>852</v>
      </c>
      <c r="X21" s="58" t="s">
        <v>852</v>
      </c>
      <c r="AA21" s="58" t="s">
        <v>853</v>
      </c>
      <c r="AB21" s="58" t="s">
        <v>853</v>
      </c>
      <c r="AC21" s="58" t="s">
        <v>853</v>
      </c>
      <c r="AE21" s="58" t="s">
        <v>852</v>
      </c>
      <c r="AF21" s="58" t="s">
        <v>852</v>
      </c>
      <c r="AG21" s="58" t="s">
        <v>852</v>
      </c>
      <c r="AH21" s="58" t="s">
        <v>852</v>
      </c>
      <c r="AI21" s="58" t="s">
        <v>852</v>
      </c>
      <c r="AJ21" s="58" t="s">
        <v>852</v>
      </c>
      <c r="AK21" s="58" t="s">
        <v>852</v>
      </c>
      <c r="AL21" s="58" t="s">
        <v>852</v>
      </c>
      <c r="AM21" s="58" t="s">
        <v>852</v>
      </c>
      <c r="AQ21" s="58" t="s">
        <v>852</v>
      </c>
      <c r="AR21" s="58" t="s">
        <v>849</v>
      </c>
      <c r="AS21" s="58" t="s">
        <v>849</v>
      </c>
      <c r="AT21" s="58" t="s">
        <v>849</v>
      </c>
      <c r="AU21" s="58" t="s">
        <v>849</v>
      </c>
      <c r="AV21" s="58" t="s">
        <v>849</v>
      </c>
      <c r="AW21" s="58" t="s">
        <v>849</v>
      </c>
      <c r="AY21" s="58" t="s">
        <v>851</v>
      </c>
      <c r="AZ21" s="58" t="s">
        <v>851</v>
      </c>
      <c r="BA21" s="58" t="s">
        <v>851</v>
      </c>
      <c r="BB21" s="58" t="s">
        <v>851</v>
      </c>
      <c r="BC21" s="58" t="s">
        <v>851</v>
      </c>
      <c r="BD21" s="58" t="s">
        <v>851</v>
      </c>
      <c r="BE21" s="58" t="s">
        <v>851</v>
      </c>
      <c r="BF21" s="58" t="s">
        <v>851</v>
      </c>
      <c r="BG21" s="58" t="s">
        <v>851</v>
      </c>
      <c r="BH21" s="58" t="s">
        <v>851</v>
      </c>
      <c r="BI21" s="58" t="s">
        <v>851</v>
      </c>
      <c r="BJ21" s="58" t="s">
        <v>851</v>
      </c>
      <c r="BK21" s="58" t="s">
        <v>851</v>
      </c>
      <c r="BL21" s="58" t="s">
        <v>851</v>
      </c>
      <c r="BN21" s="58" t="s">
        <v>851</v>
      </c>
      <c r="BO21" s="58" t="s">
        <v>851</v>
      </c>
    </row>
    <row r="22" spans="1:67" x14ac:dyDescent="0.35">
      <c r="A22" s="58" t="s">
        <v>319</v>
      </c>
      <c r="B22" s="58">
        <v>2022</v>
      </c>
      <c r="C22" s="58" t="s">
        <v>1076</v>
      </c>
      <c r="D22" s="58" t="s">
        <v>849</v>
      </c>
      <c r="E22" s="58" t="s">
        <v>1076</v>
      </c>
      <c r="F22" s="58" t="s">
        <v>1079</v>
      </c>
      <c r="G22" s="58" t="s">
        <v>1079</v>
      </c>
      <c r="I22" s="58" t="s">
        <v>1079</v>
      </c>
      <c r="J22" s="58" t="s">
        <v>1079</v>
      </c>
      <c r="K22" s="58" t="s">
        <v>1076</v>
      </c>
      <c r="O22" s="58" t="s">
        <v>849</v>
      </c>
      <c r="P22" s="58" t="s">
        <v>1076</v>
      </c>
      <c r="Q22" s="58" t="s">
        <v>1076</v>
      </c>
      <c r="R22" s="58" t="s">
        <v>1076</v>
      </c>
      <c r="S22" s="58" t="s">
        <v>1076</v>
      </c>
      <c r="T22" s="58" t="s">
        <v>1076</v>
      </c>
      <c r="U22" s="58" t="s">
        <v>1080</v>
      </c>
      <c r="V22" s="58" t="s">
        <v>1082</v>
      </c>
      <c r="W22" s="58" t="s">
        <v>1082</v>
      </c>
      <c r="X22" s="58" t="s">
        <v>1082</v>
      </c>
      <c r="AA22" s="58" t="s">
        <v>1081</v>
      </c>
      <c r="AB22" s="58" t="s">
        <v>1081</v>
      </c>
      <c r="AC22" s="58" t="s">
        <v>1081</v>
      </c>
      <c r="AE22" s="58" t="s">
        <v>1082</v>
      </c>
      <c r="AF22" s="58" t="s">
        <v>1082</v>
      </c>
      <c r="AG22" s="58" t="s">
        <v>1082</v>
      </c>
      <c r="AH22" s="58" t="s">
        <v>1082</v>
      </c>
      <c r="AI22" s="58" t="s">
        <v>1082</v>
      </c>
      <c r="AJ22" s="58" t="s">
        <v>1082</v>
      </c>
      <c r="AK22" s="58" t="s">
        <v>1082</v>
      </c>
      <c r="AL22" s="58" t="s">
        <v>1082</v>
      </c>
      <c r="AM22" s="58" t="s">
        <v>1082</v>
      </c>
      <c r="AQ22" s="58" t="s">
        <v>1082</v>
      </c>
      <c r="AR22" s="58" t="s">
        <v>1076</v>
      </c>
      <c r="AS22" s="58" t="s">
        <v>1076</v>
      </c>
      <c r="AT22" s="58" t="s">
        <v>1076</v>
      </c>
      <c r="AU22" s="58" t="s">
        <v>1076</v>
      </c>
      <c r="AV22" s="58" t="s">
        <v>1076</v>
      </c>
      <c r="AW22" s="58" t="s">
        <v>1076</v>
      </c>
      <c r="AY22" s="58" t="s">
        <v>1080</v>
      </c>
      <c r="AZ22" s="58" t="s">
        <v>1080</v>
      </c>
      <c r="BA22" s="58" t="s">
        <v>1080</v>
      </c>
      <c r="BB22" s="58" t="s">
        <v>1080</v>
      </c>
      <c r="BC22" s="58" t="s">
        <v>1080</v>
      </c>
      <c r="BD22" s="58" t="s">
        <v>1080</v>
      </c>
      <c r="BE22" s="58" t="s">
        <v>1080</v>
      </c>
      <c r="BF22" s="58" t="s">
        <v>1080</v>
      </c>
      <c r="BG22" s="58" t="s">
        <v>1080</v>
      </c>
      <c r="BH22" s="58" t="s">
        <v>1080</v>
      </c>
      <c r="BI22" s="58" t="s">
        <v>1080</v>
      </c>
      <c r="BJ22" s="58" t="s">
        <v>1080</v>
      </c>
      <c r="BK22" s="58" t="s">
        <v>1080</v>
      </c>
      <c r="BL22" s="58" t="s">
        <v>1080</v>
      </c>
      <c r="BN22" s="58" t="s">
        <v>1080</v>
      </c>
      <c r="BO22" s="58" t="s">
        <v>1080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5.5" style="3" bestFit="1" customWidth="1"/>
    <col min="2" max="2" width="7.83203125" style="3" bestFit="1" customWidth="1"/>
    <col min="3" max="3" width="32.9140625" style="3" bestFit="1" customWidth="1"/>
    <col min="4" max="4" width="11.83203125" style="3" bestFit="1" customWidth="1"/>
    <col min="5" max="5" width="33.83203125" style="3" bestFit="1" customWidth="1"/>
    <col min="6" max="6" width="75.58203125" style="3" bestFit="1" customWidth="1"/>
    <col min="7" max="7" width="42.1640625" style="3" bestFit="1" customWidth="1"/>
    <col min="8" max="8" width="19.33203125" style="3" bestFit="1" customWidth="1"/>
    <col min="9" max="10" width="93.75" style="3" bestFit="1" customWidth="1"/>
    <col min="11" max="11" width="26.83203125" style="3" customWidth="1"/>
    <col min="12" max="13" width="33.83203125" style="3" bestFit="1" customWidth="1"/>
    <col min="14" max="14" width="23.58203125" style="3" bestFit="1" customWidth="1"/>
    <col min="15" max="15" width="32.83203125" style="3" customWidth="1"/>
    <col min="16" max="16" width="33.83203125" style="3" customWidth="1"/>
    <col min="17" max="17" width="35.1640625" style="3" bestFit="1" customWidth="1"/>
    <col min="18" max="18" width="96.58203125" style="3" bestFit="1" customWidth="1"/>
    <col min="19" max="19" width="60.83203125" style="3" bestFit="1" customWidth="1"/>
    <col min="20" max="20" width="41.6640625" style="3" bestFit="1" customWidth="1"/>
    <col min="21" max="21" width="20.33203125" style="3" customWidth="1"/>
    <col min="22" max="22" width="12.9140625" style="3" bestFit="1" customWidth="1"/>
    <col min="23" max="23" width="137.1640625" style="3" bestFit="1" customWidth="1"/>
    <col min="24" max="24" width="38.5" style="3" bestFit="1" customWidth="1"/>
    <col min="25" max="25" width="16.6640625" style="3" bestFit="1" customWidth="1"/>
    <col min="26" max="26" width="88.5" style="3" bestFit="1" customWidth="1"/>
    <col min="27" max="27" width="12.6640625" style="3" bestFit="1" customWidth="1"/>
    <col min="28" max="28" width="78.5" style="3" bestFit="1" customWidth="1"/>
    <col min="29" max="29" width="20.5" style="3" bestFit="1" customWidth="1"/>
    <col min="30" max="30" width="19.1640625" style="3" bestFit="1" customWidth="1"/>
    <col min="31" max="31" width="23.9140625" style="3" bestFit="1" customWidth="1"/>
    <col min="32" max="32" width="38.5" style="3" bestFit="1" customWidth="1"/>
    <col min="33" max="33" width="15.9140625" style="3" bestFit="1" customWidth="1"/>
    <col min="34" max="34" width="33" style="3" bestFit="1" customWidth="1"/>
    <col min="35" max="35" width="19.1640625" style="3" bestFit="1" customWidth="1"/>
    <col min="36" max="39" width="34.9140625" style="3" bestFit="1" customWidth="1"/>
    <col min="40" max="40" width="20.9140625" style="3" bestFit="1" customWidth="1"/>
    <col min="41" max="41" width="19.58203125" style="3" bestFit="1" customWidth="1"/>
    <col min="42" max="43" width="34.9140625" style="3" bestFit="1" customWidth="1"/>
    <col min="44" max="44" width="49.08203125" style="3" bestFit="1" customWidth="1"/>
    <col min="45" max="45" width="123.83203125" style="3" bestFit="1" customWidth="1"/>
    <col min="46" max="46" width="29.9140625" style="3" bestFit="1" customWidth="1"/>
    <col min="47" max="47" width="47.4140625" style="3" bestFit="1" customWidth="1"/>
    <col min="48" max="48" width="64.75" style="3" bestFit="1" customWidth="1"/>
    <col min="49" max="49" width="36.9140625" style="3" bestFit="1" customWidth="1"/>
    <col min="50" max="50" width="34.9140625" style="3" bestFit="1" customWidth="1"/>
    <col min="51" max="51" width="31.83203125" style="3" bestFit="1" customWidth="1"/>
    <col min="52" max="52" width="34.9140625" style="3" bestFit="1" customWidth="1"/>
    <col min="53" max="53" width="33.83203125" style="3" bestFit="1" customWidth="1"/>
    <col min="54" max="54" width="17.4140625" style="3" bestFit="1" customWidth="1"/>
    <col min="55" max="55" width="16.25" style="3" bestFit="1" customWidth="1"/>
    <col min="56" max="57" width="34.25" style="3" bestFit="1" customWidth="1"/>
    <col min="58" max="62" width="33.83203125" style="3" bestFit="1" customWidth="1"/>
    <col min="63" max="63" width="36.6640625" style="3" bestFit="1" customWidth="1"/>
    <col min="64" max="64" width="31.4140625" style="3" bestFit="1" customWidth="1"/>
    <col min="65" max="65" width="31.33203125" style="3" bestFit="1" customWidth="1"/>
    <col min="66" max="66" width="30.4140625" style="3" bestFit="1" customWidth="1"/>
    <col min="67" max="67" width="29.75" style="3" bestFit="1" customWidth="1"/>
    <col min="68" max="68" width="28.08203125" style="3" bestFit="1" customWidth="1"/>
    <col min="69" max="69" width="34.4140625" style="3" bestFit="1" customWidth="1"/>
    <col min="70" max="70" width="29.75" style="3" bestFit="1" customWidth="1"/>
    <col min="71" max="71" width="29.1640625" style="3" bestFit="1" customWidth="1"/>
    <col min="72" max="72" width="36.6640625" style="3" bestFit="1" customWidth="1"/>
    <col min="73" max="73" width="35.5" style="3" bestFit="1" customWidth="1"/>
    <col min="74" max="74" width="29.9140625" style="3" bestFit="1" customWidth="1"/>
    <col min="75" max="75" width="29.25" style="3" bestFit="1" customWidth="1"/>
    <col min="76" max="76" width="27.58203125" style="3" bestFit="1" customWidth="1"/>
    <col min="77" max="77" width="34.5" style="3" bestFit="1" customWidth="1"/>
    <col min="78" max="78" width="36.1640625" style="3" bestFit="1" customWidth="1"/>
    <col min="79" max="79" width="30.08203125" style="3" bestFit="1" customWidth="1"/>
    <col min="80" max="80" width="35.25" style="3" bestFit="1" customWidth="1"/>
    <col min="81" max="81" width="16.58203125" style="3" bestFit="1" customWidth="1"/>
    <col min="82" max="82" width="33.83203125" style="3" bestFit="1" customWidth="1"/>
    <col min="83" max="83" width="16.6640625" style="3" bestFit="1" customWidth="1"/>
    <col min="84" max="84" width="34.75" style="3" bestFit="1" customWidth="1"/>
    <col min="85" max="86" width="36.6640625" style="3" bestFit="1" customWidth="1"/>
    <col min="87" max="87" width="30.58203125" style="3" bestFit="1" customWidth="1"/>
    <col min="88" max="88" width="28.33203125" style="3" bestFit="1" customWidth="1"/>
    <col min="89" max="89" width="30.58203125" style="3" bestFit="1" customWidth="1"/>
    <col min="90" max="90" width="35.83203125" style="3" bestFit="1" customWidth="1"/>
    <col min="91" max="92" width="36.6640625" style="3" bestFit="1" customWidth="1"/>
    <col min="93" max="93" width="34.33203125" style="3" bestFit="1" customWidth="1"/>
    <col min="94" max="94" width="36.6640625" style="3" bestFit="1" customWidth="1"/>
    <col min="95" max="16384" width="12.58203125" style="3"/>
  </cols>
  <sheetData>
    <row r="1" spans="1:94" ht="29" x14ac:dyDescent="0.35">
      <c r="A1" s="1" t="s">
        <v>0</v>
      </c>
      <c r="B1" s="1" t="s">
        <v>1</v>
      </c>
      <c r="C1" s="28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8" t="s">
        <v>135</v>
      </c>
      <c r="I1" s="1" t="s">
        <v>136</v>
      </c>
      <c r="J1" s="1" t="s">
        <v>137</v>
      </c>
      <c r="K1" s="1" t="s">
        <v>138</v>
      </c>
      <c r="L1" s="53" t="s">
        <v>1074</v>
      </c>
      <c r="M1" s="28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37" t="s">
        <v>152</v>
      </c>
      <c r="AA1" s="37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610</v>
      </c>
      <c r="AT1" s="1" t="s">
        <v>611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28" t="s">
        <v>180</v>
      </c>
      <c r="BE1" s="28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20</v>
      </c>
      <c r="BK1" s="2"/>
      <c r="BL1" s="80" t="s">
        <v>186</v>
      </c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2"/>
      <c r="CF1" s="2"/>
      <c r="CG1" s="2"/>
      <c r="CH1" s="2"/>
      <c r="CI1" s="2"/>
      <c r="CJ1" s="2"/>
      <c r="CK1" s="2"/>
      <c r="CL1" s="2"/>
      <c r="CM1" s="2"/>
      <c r="CN1" s="2"/>
      <c r="CO1" s="12"/>
      <c r="CP1" s="2"/>
    </row>
    <row r="2" spans="1:94" x14ac:dyDescent="0.35">
      <c r="A2" s="9" t="s">
        <v>64</v>
      </c>
      <c r="B2" s="9" t="s">
        <v>65</v>
      </c>
      <c r="C2" s="29" t="s">
        <v>187</v>
      </c>
      <c r="D2" s="9" t="s">
        <v>188</v>
      </c>
      <c r="E2" s="9" t="s">
        <v>189</v>
      </c>
      <c r="F2" s="9" t="s">
        <v>190</v>
      </c>
      <c r="G2" s="9" t="s">
        <v>191</v>
      </c>
      <c r="H2" s="29" t="s">
        <v>192</v>
      </c>
      <c r="I2" s="9" t="s">
        <v>193</v>
      </c>
      <c r="J2" s="9" t="s">
        <v>194</v>
      </c>
      <c r="K2" s="1" t="s">
        <v>195</v>
      </c>
      <c r="L2" s="54" t="s">
        <v>1075</v>
      </c>
      <c r="M2" s="29" t="s">
        <v>196</v>
      </c>
      <c r="N2" s="1" t="s">
        <v>197</v>
      </c>
      <c r="O2" s="1" t="s">
        <v>198</v>
      </c>
      <c r="P2" s="2" t="s">
        <v>199</v>
      </c>
      <c r="Q2" s="2" t="s">
        <v>200</v>
      </c>
      <c r="R2" s="9" t="s">
        <v>201</v>
      </c>
      <c r="S2" s="9" t="s">
        <v>202</v>
      </c>
      <c r="T2" s="9" t="s">
        <v>203</v>
      </c>
      <c r="U2" s="9" t="s">
        <v>204</v>
      </c>
      <c r="V2" s="9" t="s">
        <v>205</v>
      </c>
      <c r="W2" s="9" t="s">
        <v>206</v>
      </c>
      <c r="X2" s="9" t="s">
        <v>207</v>
      </c>
      <c r="Y2" s="9" t="s">
        <v>208</v>
      </c>
      <c r="Z2" s="29" t="s">
        <v>209</v>
      </c>
      <c r="AA2" s="29" t="s">
        <v>210</v>
      </c>
      <c r="AB2" s="9" t="s">
        <v>211</v>
      </c>
      <c r="AC2" s="9" t="s">
        <v>212</v>
      </c>
      <c r="AD2" s="9" t="s">
        <v>213</v>
      </c>
      <c r="AE2" s="9" t="s">
        <v>214</v>
      </c>
      <c r="AF2" s="9" t="s">
        <v>215</v>
      </c>
      <c r="AG2" s="9" t="s">
        <v>216</v>
      </c>
      <c r="AH2" s="9" t="s">
        <v>217</v>
      </c>
      <c r="AI2" s="9" t="s">
        <v>218</v>
      </c>
      <c r="AJ2" s="9" t="s">
        <v>219</v>
      </c>
      <c r="AK2" s="9" t="s">
        <v>220</v>
      </c>
      <c r="AL2" s="9" t="s">
        <v>221</v>
      </c>
      <c r="AM2" s="9" t="s">
        <v>222</v>
      </c>
      <c r="AN2" s="9" t="s">
        <v>223</v>
      </c>
      <c r="AO2" s="9" t="s">
        <v>224</v>
      </c>
      <c r="AP2" s="9" t="s">
        <v>225</v>
      </c>
      <c r="AQ2" s="9" t="s">
        <v>226</v>
      </c>
      <c r="AR2" s="9" t="s">
        <v>227</v>
      </c>
      <c r="AS2" s="9" t="s">
        <v>228</v>
      </c>
      <c r="AT2" s="9" t="s">
        <v>229</v>
      </c>
      <c r="AU2" s="9" t="s">
        <v>230</v>
      </c>
      <c r="AV2" s="9" t="s">
        <v>231</v>
      </c>
      <c r="AW2" s="9" t="s">
        <v>232</v>
      </c>
      <c r="AX2" s="9" t="s">
        <v>233</v>
      </c>
      <c r="AY2" s="9" t="s">
        <v>234</v>
      </c>
      <c r="AZ2" s="9" t="s">
        <v>235</v>
      </c>
      <c r="BA2" s="9" t="s">
        <v>236</v>
      </c>
      <c r="BB2" s="9" t="s">
        <v>237</v>
      </c>
      <c r="BC2" s="9" t="s">
        <v>238</v>
      </c>
      <c r="BD2" s="29" t="s">
        <v>239</v>
      </c>
      <c r="BE2" s="29" t="s">
        <v>240</v>
      </c>
      <c r="BF2" s="9" t="s">
        <v>241</v>
      </c>
      <c r="BG2" s="9" t="s">
        <v>242</v>
      </c>
      <c r="BH2" s="9" t="s">
        <v>243</v>
      </c>
      <c r="BI2" s="9" t="s">
        <v>244</v>
      </c>
      <c r="BJ2" s="9" t="s">
        <v>245</v>
      </c>
      <c r="BK2" s="1" t="s">
        <v>612</v>
      </c>
      <c r="BL2" s="1" t="s">
        <v>613</v>
      </c>
      <c r="BM2" s="1" t="s">
        <v>614</v>
      </c>
      <c r="BN2" s="1" t="s">
        <v>615</v>
      </c>
      <c r="BO2" s="1" t="s">
        <v>616</v>
      </c>
      <c r="BP2" s="1" t="s">
        <v>617</v>
      </c>
      <c r="BQ2" s="1" t="s">
        <v>618</v>
      </c>
      <c r="BR2" s="1" t="s">
        <v>619</v>
      </c>
      <c r="BS2" s="1" t="s">
        <v>620</v>
      </c>
      <c r="BT2" s="1" t="s">
        <v>621</v>
      </c>
      <c r="BU2" s="1" t="s">
        <v>622</v>
      </c>
      <c r="BV2" s="1" t="s">
        <v>623</v>
      </c>
      <c r="BW2" s="1" t="s">
        <v>624</v>
      </c>
      <c r="BX2" s="1" t="s">
        <v>625</v>
      </c>
      <c r="BY2" s="1" t="s">
        <v>626</v>
      </c>
      <c r="BZ2" s="1" t="s">
        <v>627</v>
      </c>
      <c r="CA2" s="1" t="s">
        <v>628</v>
      </c>
      <c r="CB2" s="1" t="s">
        <v>629</v>
      </c>
      <c r="CC2" s="1" t="s">
        <v>630</v>
      </c>
      <c r="CD2" s="1" t="s">
        <v>631</v>
      </c>
      <c r="CE2" s="1" t="s">
        <v>632</v>
      </c>
      <c r="CF2" s="1" t="s">
        <v>633</v>
      </c>
      <c r="CG2" s="28" t="s">
        <v>247</v>
      </c>
      <c r="CH2" s="1" t="s">
        <v>634</v>
      </c>
      <c r="CI2" s="28" t="s">
        <v>249</v>
      </c>
      <c r="CJ2" s="28" t="s">
        <v>250</v>
      </c>
      <c r="CK2" s="28" t="s">
        <v>251</v>
      </c>
      <c r="CL2" s="1" t="s">
        <v>635</v>
      </c>
      <c r="CM2" s="1" t="s">
        <v>636</v>
      </c>
      <c r="CN2" s="1" t="s">
        <v>637</v>
      </c>
      <c r="CO2" s="28" t="s">
        <v>253</v>
      </c>
      <c r="CP2" s="1" t="s">
        <v>638</v>
      </c>
    </row>
    <row r="3" spans="1:94" ht="43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" t="s">
        <v>255</v>
      </c>
      <c r="BL3" s="1" t="s">
        <v>256</v>
      </c>
      <c r="BM3" s="30" t="s">
        <v>257</v>
      </c>
      <c r="BN3" s="30"/>
      <c r="BO3" s="30"/>
      <c r="BP3" s="30"/>
      <c r="BQ3" s="30" t="s">
        <v>258</v>
      </c>
      <c r="BR3" s="30"/>
      <c r="BS3" s="30"/>
      <c r="BT3" s="30"/>
      <c r="BU3" s="30" t="s">
        <v>259</v>
      </c>
      <c r="BV3" s="30"/>
      <c r="BW3" s="30"/>
      <c r="BX3" s="30"/>
      <c r="BY3" s="1" t="s">
        <v>260</v>
      </c>
      <c r="BZ3" s="1" t="s">
        <v>261</v>
      </c>
      <c r="CA3" s="1" t="s">
        <v>262</v>
      </c>
      <c r="CB3" s="1" t="s">
        <v>263</v>
      </c>
      <c r="CC3" s="1"/>
      <c r="CD3" s="1" t="s">
        <v>264</v>
      </c>
      <c r="CE3" s="1"/>
      <c r="CF3" s="1" t="s">
        <v>265</v>
      </c>
      <c r="CG3" s="28" t="s">
        <v>266</v>
      </c>
      <c r="CH3" s="1" t="s">
        <v>267</v>
      </c>
      <c r="CI3" s="28" t="s">
        <v>268</v>
      </c>
      <c r="CJ3" s="28" t="s">
        <v>269</v>
      </c>
      <c r="CK3" s="28" t="s">
        <v>270</v>
      </c>
      <c r="CL3" s="1" t="s">
        <v>271</v>
      </c>
      <c r="CM3" s="1" t="s">
        <v>272</v>
      </c>
      <c r="CN3" s="1" t="s">
        <v>273</v>
      </c>
      <c r="CO3" s="28" t="s">
        <v>274</v>
      </c>
      <c r="CP3" s="1" t="s">
        <v>275</v>
      </c>
    </row>
    <row r="4" spans="1:94" x14ac:dyDescent="0.35">
      <c r="A4" s="3" t="s">
        <v>319</v>
      </c>
      <c r="B4" s="3">
        <v>2001</v>
      </c>
      <c r="D4" s="3" t="s">
        <v>445</v>
      </c>
      <c r="E4" s="5">
        <v>0.1234</v>
      </c>
      <c r="F4" s="5">
        <v>0.1232</v>
      </c>
      <c r="G4" s="5">
        <v>2.0000000000000001E-4</v>
      </c>
      <c r="H4" s="11"/>
      <c r="I4" s="5">
        <v>-2.3599999999999999E-2</v>
      </c>
      <c r="J4" s="5">
        <v>-2.3599999999999999E-2</v>
      </c>
      <c r="K4" s="5"/>
      <c r="L4" s="79">
        <f>1163042*1000</f>
        <v>1163042000</v>
      </c>
      <c r="M4" s="21">
        <f>(279320+105902)*1000</f>
        <v>385222000</v>
      </c>
      <c r="O4" s="5"/>
      <c r="P4" s="5"/>
      <c r="Q4" s="5"/>
      <c r="R4" s="5">
        <v>9.9599999999999994E-2</v>
      </c>
      <c r="S4" s="5" t="s">
        <v>608</v>
      </c>
      <c r="T4" s="3" t="s">
        <v>433</v>
      </c>
      <c r="U4" s="5"/>
      <c r="V4" s="5"/>
      <c r="W4" s="3" t="s">
        <v>513</v>
      </c>
      <c r="X4" s="3" t="s">
        <v>434</v>
      </c>
      <c r="Z4" s="5"/>
      <c r="AA4" s="5"/>
      <c r="AB4" s="5" t="s">
        <v>522</v>
      </c>
      <c r="AC4" s="3" t="s">
        <v>321</v>
      </c>
      <c r="AD4" s="3" t="s">
        <v>321</v>
      </c>
      <c r="AF4" s="3" t="s">
        <v>434</v>
      </c>
      <c r="AG4" s="3" t="s">
        <v>321</v>
      </c>
      <c r="AH4" s="3" t="s">
        <v>434</v>
      </c>
      <c r="AI4" s="3" t="s">
        <v>321</v>
      </c>
      <c r="AJ4" s="5">
        <v>3.5000000000000003E-2</v>
      </c>
      <c r="AK4" s="5">
        <v>0.08</v>
      </c>
      <c r="AL4" s="5">
        <v>4.2500000000000003E-2</v>
      </c>
      <c r="AM4" s="5"/>
      <c r="AN4" s="3" t="s">
        <v>497</v>
      </c>
      <c r="AO4" s="3" t="s">
        <v>436</v>
      </c>
      <c r="AP4" s="3" t="s">
        <v>320</v>
      </c>
      <c r="AQ4" s="3">
        <v>2000</v>
      </c>
      <c r="AS4" s="3" t="s">
        <v>485</v>
      </c>
      <c r="AU4" s="3" t="s">
        <v>478</v>
      </c>
      <c r="AV4" s="3" t="s">
        <v>480</v>
      </c>
      <c r="AW4" s="3" t="s">
        <v>323</v>
      </c>
      <c r="AX4" s="5">
        <v>0.08</v>
      </c>
      <c r="AZ4" s="5">
        <v>0.08</v>
      </c>
      <c r="BA4" s="3" t="s">
        <v>435</v>
      </c>
      <c r="BB4" s="5"/>
      <c r="BC4" s="5"/>
      <c r="BD4" s="5">
        <f>20650/36157044</f>
        <v>5.7111969662121712E-4</v>
      </c>
      <c r="BF4" s="4">
        <v>39772700000</v>
      </c>
      <c r="BG4" s="4">
        <f>45386.1*1000000</f>
        <v>45386100000</v>
      </c>
      <c r="BH4" s="4">
        <f>5613.4*1000000</f>
        <v>5613400000</v>
      </c>
      <c r="BI4" s="5">
        <v>1.0669999999999999</v>
      </c>
      <c r="BJ4" s="4">
        <v>6254000000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4" x14ac:dyDescent="0.35">
      <c r="A5" s="3" t="s">
        <v>319</v>
      </c>
      <c r="B5" s="3">
        <f t="shared" ref="B5:B21" si="0">B4+1</f>
        <v>2002</v>
      </c>
      <c r="D5" s="3" t="s">
        <v>445</v>
      </c>
      <c r="E5" s="5">
        <v>0.12379999999999999</v>
      </c>
      <c r="F5" s="5">
        <v>0.1236</v>
      </c>
      <c r="G5" s="5">
        <v>2.0000000000000001E-4</v>
      </c>
      <c r="H5" s="11"/>
      <c r="I5" s="5">
        <v>3.3000000000000002E-2</v>
      </c>
      <c r="J5" s="5">
        <v>3.3000000000000002E-2</v>
      </c>
      <c r="K5" s="5"/>
      <c r="L5" s="79"/>
      <c r="M5" s="21"/>
      <c r="O5" s="5"/>
      <c r="P5" s="5"/>
      <c r="Q5" s="5"/>
      <c r="R5" s="5">
        <v>0.15659999999999999</v>
      </c>
      <c r="S5" s="5"/>
      <c r="U5" s="5"/>
      <c r="V5" s="5"/>
      <c r="Z5" s="5"/>
      <c r="AA5" s="5"/>
      <c r="AB5" s="5"/>
      <c r="AH5" s="3" t="s">
        <v>434</v>
      </c>
      <c r="AJ5" s="5">
        <v>3.5000000000000003E-2</v>
      </c>
      <c r="AK5" s="5">
        <v>0.08</v>
      </c>
      <c r="AL5" s="5">
        <v>4.2500000000000003E-2</v>
      </c>
      <c r="AM5" s="5"/>
      <c r="AU5" s="3" t="s">
        <v>478</v>
      </c>
      <c r="AV5" s="3" t="s">
        <v>481</v>
      </c>
      <c r="AW5" s="3" t="s">
        <v>323</v>
      </c>
      <c r="AX5" s="5">
        <v>0.08</v>
      </c>
      <c r="AZ5" s="5">
        <v>0.08</v>
      </c>
      <c r="BA5" s="3" t="s">
        <v>435</v>
      </c>
      <c r="BB5" s="5"/>
      <c r="BC5" s="5"/>
      <c r="BD5" s="5"/>
      <c r="BF5" s="4">
        <v>35446900000</v>
      </c>
      <c r="BG5" s="4">
        <v>38947000000</v>
      </c>
      <c r="BH5" s="4">
        <v>3500100000</v>
      </c>
      <c r="BI5" s="5">
        <v>0.91</v>
      </c>
      <c r="BJ5" s="4">
        <v>6383500000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</row>
    <row r="6" spans="1:94" x14ac:dyDescent="0.35">
      <c r="A6" s="3" t="s">
        <v>319</v>
      </c>
      <c r="B6" s="3">
        <f t="shared" si="0"/>
        <v>2003</v>
      </c>
      <c r="D6" s="3" t="s">
        <v>445</v>
      </c>
      <c r="E6" s="5">
        <v>0.1241</v>
      </c>
      <c r="F6" s="5">
        <v>0.1239</v>
      </c>
      <c r="G6" s="5">
        <v>2.0000000000000001E-4</v>
      </c>
      <c r="H6" s="11"/>
      <c r="I6" s="5">
        <v>5.8799999999999998E-2</v>
      </c>
      <c r="J6" s="5">
        <v>5.8799999999999998E-2</v>
      </c>
      <c r="K6" s="5"/>
      <c r="L6" s="79">
        <f>966442*1000</f>
        <v>966442000</v>
      </c>
      <c r="M6" s="21">
        <f>(264242+140748)*1000</f>
        <v>404990000</v>
      </c>
      <c r="O6" s="5"/>
      <c r="P6" s="5"/>
      <c r="Q6" s="5"/>
      <c r="R6" s="5">
        <v>0.1827</v>
      </c>
      <c r="S6" s="5" t="s">
        <v>608</v>
      </c>
      <c r="T6" s="3" t="s">
        <v>433</v>
      </c>
      <c r="U6" s="5"/>
      <c r="V6" s="5"/>
      <c r="W6" s="3" t="s">
        <v>513</v>
      </c>
      <c r="X6" s="3" t="s">
        <v>434</v>
      </c>
      <c r="Z6" s="5"/>
      <c r="AA6" s="5"/>
      <c r="AB6" s="5" t="s">
        <v>522</v>
      </c>
      <c r="AC6" s="3" t="s">
        <v>321</v>
      </c>
      <c r="AD6" s="3" t="s">
        <v>321</v>
      </c>
      <c r="AF6" s="3" t="s">
        <v>434</v>
      </c>
      <c r="AG6" s="3" t="s">
        <v>321</v>
      </c>
      <c r="AH6" s="3" t="s">
        <v>434</v>
      </c>
      <c r="AI6" s="3" t="s">
        <v>321</v>
      </c>
      <c r="AJ6" s="5">
        <v>0.03</v>
      </c>
      <c r="AK6" s="5">
        <v>0.08</v>
      </c>
      <c r="AL6" s="5">
        <v>0.04</v>
      </c>
      <c r="AM6" s="3" t="s">
        <v>669</v>
      </c>
      <c r="AN6" s="3" t="s">
        <v>498</v>
      </c>
      <c r="AO6" s="3" t="s">
        <v>437</v>
      </c>
      <c r="AP6" s="3" t="s">
        <v>320</v>
      </c>
      <c r="AQ6" s="3">
        <v>2000</v>
      </c>
      <c r="AS6" s="3" t="s">
        <v>486</v>
      </c>
      <c r="AU6" s="3" t="s">
        <v>479</v>
      </c>
      <c r="AV6" s="3" t="s">
        <v>482</v>
      </c>
      <c r="AW6" s="3" t="s">
        <v>323</v>
      </c>
      <c r="AX6" s="5">
        <v>0.08</v>
      </c>
      <c r="AZ6" s="5">
        <v>0.08</v>
      </c>
      <c r="BA6" s="3" t="s">
        <v>435</v>
      </c>
      <c r="BB6" s="5"/>
      <c r="BC6" s="5"/>
      <c r="BD6" s="5">
        <f>22870/42383128</f>
        <v>5.3960151313041361E-4</v>
      </c>
      <c r="BF6" s="4">
        <v>42753300000</v>
      </c>
      <c r="BG6" s="4">
        <v>44078100000</v>
      </c>
      <c r="BH6" s="4">
        <v>1324800000</v>
      </c>
      <c r="BI6" s="5">
        <v>0.97</v>
      </c>
      <c r="BJ6" s="4">
        <v>6248500000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spans="1:94" x14ac:dyDescent="0.35">
      <c r="A7" s="3" t="s">
        <v>319</v>
      </c>
      <c r="B7" s="3">
        <f t="shared" si="0"/>
        <v>2004</v>
      </c>
      <c r="C7" s="3">
        <v>2008</v>
      </c>
      <c r="D7" s="3" t="s">
        <v>512</v>
      </c>
      <c r="E7" s="5"/>
      <c r="F7" s="25">
        <f>4.78%+0.12%</f>
        <v>4.9000000000000002E-2</v>
      </c>
      <c r="G7" s="5">
        <v>2.0000000000000001E-4</v>
      </c>
      <c r="H7" s="11"/>
      <c r="I7" s="25">
        <f>5.89%+6.4%</f>
        <v>0.1229</v>
      </c>
      <c r="J7" s="25">
        <f>5.89%+6.4%</f>
        <v>0.1229</v>
      </c>
      <c r="K7" s="5"/>
      <c r="L7" s="79">
        <f>1038.6*1000000</f>
        <v>1038599999.9999999</v>
      </c>
      <c r="M7" s="21">
        <f>(0+14.2)*1000000</f>
        <v>14200000</v>
      </c>
      <c r="O7" s="5"/>
      <c r="P7" s="5"/>
      <c r="Q7" s="5"/>
      <c r="R7" s="25">
        <f>17.21%-0.02%</f>
        <v>0.1719</v>
      </c>
      <c r="S7" s="5" t="s">
        <v>609</v>
      </c>
      <c r="T7" s="3" t="s">
        <v>433</v>
      </c>
      <c r="U7" s="5"/>
      <c r="V7" s="5"/>
      <c r="W7" s="3" t="s">
        <v>513</v>
      </c>
      <c r="X7" s="3" t="s">
        <v>434</v>
      </c>
      <c r="Z7" s="5"/>
      <c r="AA7" s="5"/>
      <c r="AB7" s="5" t="s">
        <v>522</v>
      </c>
      <c r="AC7" s="3" t="s">
        <v>321</v>
      </c>
      <c r="AD7" s="3" t="s">
        <v>321</v>
      </c>
      <c r="AF7" s="3" t="s">
        <v>434</v>
      </c>
      <c r="AG7" s="3" t="s">
        <v>321</v>
      </c>
      <c r="AH7" s="3" t="s">
        <v>434</v>
      </c>
      <c r="AI7" s="3" t="s">
        <v>321</v>
      </c>
      <c r="AJ7" s="5">
        <v>0.03</v>
      </c>
      <c r="AK7" s="5">
        <v>0.08</v>
      </c>
      <c r="AL7" s="5">
        <v>0.04</v>
      </c>
      <c r="AM7" s="3" t="s">
        <v>668</v>
      </c>
      <c r="AN7" s="3" t="s">
        <v>499</v>
      </c>
      <c r="AO7" s="3" t="s">
        <v>439</v>
      </c>
      <c r="AP7" s="3" t="s">
        <v>320</v>
      </c>
      <c r="AQ7" s="3">
        <v>2000</v>
      </c>
      <c r="AS7" s="3" t="s">
        <v>487</v>
      </c>
      <c r="AU7" s="3" t="s">
        <v>478</v>
      </c>
      <c r="AV7" s="3" t="s">
        <v>438</v>
      </c>
      <c r="AW7" s="3" t="s">
        <v>362</v>
      </c>
      <c r="AX7" s="5">
        <v>0.08</v>
      </c>
      <c r="AZ7" s="5">
        <v>0.08</v>
      </c>
      <c r="BB7" s="5"/>
      <c r="BC7" s="5"/>
      <c r="BD7" s="5">
        <f>(26*1000000)/(47992.5*1000000)</f>
        <v>5.4175131530968378E-4</v>
      </c>
      <c r="BE7" s="3" t="s">
        <v>434</v>
      </c>
      <c r="BF7" s="4">
        <v>45581100000</v>
      </c>
      <c r="BG7" s="4">
        <v>47398600000</v>
      </c>
      <c r="BH7" s="4">
        <v>1817500000</v>
      </c>
      <c r="BI7" s="5">
        <v>0.96199999999999997</v>
      </c>
      <c r="BJ7" s="4">
        <v>6772400000</v>
      </c>
      <c r="BK7" s="4">
        <v>1435200000</v>
      </c>
      <c r="BL7" s="4"/>
      <c r="BM7" s="4"/>
      <c r="BN7" s="4"/>
      <c r="BO7" s="4"/>
      <c r="BP7" s="4"/>
      <c r="BQ7" s="4"/>
      <c r="BR7" s="4"/>
      <c r="BS7" s="4"/>
      <c r="BT7" s="4">
        <v>359800000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>
        <v>774100000</v>
      </c>
      <c r="CH7" s="23">
        <f>(7374.4-5926.2)*1000000</f>
        <v>1448199999.9999998</v>
      </c>
      <c r="CI7" s="4"/>
      <c r="CJ7" s="4"/>
      <c r="CK7" s="4"/>
      <c r="CL7" s="4"/>
      <c r="CM7" s="4">
        <v>-943900000</v>
      </c>
      <c r="CN7" s="4">
        <v>508600000</v>
      </c>
      <c r="CO7" s="4"/>
      <c r="CP7" s="4">
        <v>-685600000</v>
      </c>
    </row>
    <row r="8" spans="1:94" x14ac:dyDescent="0.35">
      <c r="A8" s="3" t="s">
        <v>319</v>
      </c>
      <c r="B8" s="3">
        <f t="shared" si="0"/>
        <v>2005</v>
      </c>
      <c r="C8" s="3">
        <v>2008</v>
      </c>
      <c r="D8" s="3" t="s">
        <v>512</v>
      </c>
      <c r="E8" s="5"/>
      <c r="F8" s="5"/>
      <c r="G8" s="5"/>
      <c r="H8" s="11"/>
      <c r="I8" s="5"/>
      <c r="J8" s="5"/>
      <c r="K8" s="5"/>
      <c r="L8" s="79"/>
      <c r="M8" s="21"/>
      <c r="O8" s="5"/>
      <c r="P8" s="5"/>
      <c r="Q8" s="5"/>
      <c r="S8" s="5"/>
      <c r="T8" s="3" t="s">
        <v>433</v>
      </c>
      <c r="U8" s="5"/>
      <c r="V8" s="5"/>
      <c r="W8" s="3" t="s">
        <v>514</v>
      </c>
      <c r="X8" s="3" t="s">
        <v>434</v>
      </c>
      <c r="Z8" s="5"/>
      <c r="AA8" s="5"/>
      <c r="AB8" s="5" t="s">
        <v>522</v>
      </c>
      <c r="AC8" s="3" t="s">
        <v>321</v>
      </c>
      <c r="AD8" s="3" t="s">
        <v>321</v>
      </c>
      <c r="AG8" s="3" t="s">
        <v>321</v>
      </c>
      <c r="AH8" s="3" t="s">
        <v>434</v>
      </c>
      <c r="AI8" s="3" t="s">
        <v>321</v>
      </c>
      <c r="AJ8" s="5">
        <v>2.75E-2</v>
      </c>
      <c r="AK8" s="5">
        <v>0.08</v>
      </c>
      <c r="AL8" s="5">
        <v>3.7499999999999999E-2</v>
      </c>
      <c r="AM8" s="3" t="s">
        <v>668</v>
      </c>
      <c r="AN8" s="3" t="s">
        <v>441</v>
      </c>
      <c r="AO8" s="3" t="s">
        <v>440</v>
      </c>
      <c r="AP8" s="3" t="s">
        <v>320</v>
      </c>
      <c r="AQ8" s="3">
        <v>2000</v>
      </c>
      <c r="AS8" s="3" t="s">
        <v>524</v>
      </c>
      <c r="AU8" s="3" t="s">
        <v>478</v>
      </c>
      <c r="AV8" s="3" t="s">
        <v>442</v>
      </c>
      <c r="AW8" s="3" t="s">
        <v>362</v>
      </c>
      <c r="AX8" s="5">
        <v>0.08</v>
      </c>
      <c r="AZ8" s="5">
        <v>0.08</v>
      </c>
      <c r="BB8" s="5"/>
      <c r="BC8" s="5"/>
      <c r="BD8" s="5"/>
      <c r="BF8" s="4">
        <v>51382600000</v>
      </c>
      <c r="BG8" s="4">
        <v>49294000000</v>
      </c>
      <c r="BH8" s="4">
        <v>-2088600000</v>
      </c>
      <c r="BI8" s="5">
        <v>1.042</v>
      </c>
      <c r="BJ8" s="4">
        <v>6791600000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5">
      <c r="A9" s="3" t="s">
        <v>319</v>
      </c>
      <c r="B9" s="3">
        <f t="shared" si="0"/>
        <v>2006</v>
      </c>
      <c r="D9" s="3" t="s">
        <v>512</v>
      </c>
      <c r="F9" s="5" t="s">
        <v>602</v>
      </c>
      <c r="G9" s="5" t="s">
        <v>559</v>
      </c>
      <c r="H9" s="11"/>
      <c r="I9" s="5" t="s">
        <v>560</v>
      </c>
      <c r="J9" s="5" t="s">
        <v>560</v>
      </c>
      <c r="K9" s="5"/>
      <c r="L9" s="79">
        <f>658.1*1000000</f>
        <v>658100000</v>
      </c>
      <c r="M9" s="21">
        <f>(1.2+9.5)*1000000</f>
        <v>10700000</v>
      </c>
      <c r="O9" s="5"/>
      <c r="P9" s="5"/>
      <c r="Q9" s="5"/>
      <c r="R9" s="5" t="s">
        <v>561</v>
      </c>
      <c r="S9" s="5" t="s">
        <v>609</v>
      </c>
      <c r="T9" s="3" t="s">
        <v>433</v>
      </c>
      <c r="U9" s="5"/>
      <c r="V9" s="5"/>
      <c r="W9" s="3" t="s">
        <v>515</v>
      </c>
      <c r="X9" s="3" t="s">
        <v>434</v>
      </c>
      <c r="Z9" s="5"/>
      <c r="AA9" s="5"/>
      <c r="AB9" s="5" t="s">
        <v>522</v>
      </c>
      <c r="AC9" s="3" t="s">
        <v>321</v>
      </c>
      <c r="AD9" s="3" t="s">
        <v>321</v>
      </c>
      <c r="AF9" s="3" t="s">
        <v>434</v>
      </c>
      <c r="AG9" s="3" t="s">
        <v>321</v>
      </c>
      <c r="AH9" s="3" t="s">
        <v>434</v>
      </c>
      <c r="AI9" s="3" t="s">
        <v>321</v>
      </c>
      <c r="AJ9" s="5">
        <v>2.75E-2</v>
      </c>
      <c r="AK9" s="5">
        <v>0.08</v>
      </c>
      <c r="AL9" s="5">
        <v>3.7499999999999999E-2</v>
      </c>
      <c r="AM9" s="3" t="s">
        <v>668</v>
      </c>
      <c r="AN9" s="3" t="s">
        <v>501</v>
      </c>
      <c r="AO9" s="3" t="s">
        <v>500</v>
      </c>
      <c r="AP9" s="3" t="s">
        <v>320</v>
      </c>
      <c r="AQ9" s="3">
        <v>2000</v>
      </c>
      <c r="AS9" s="3" t="s">
        <v>524</v>
      </c>
      <c r="AU9" s="3" t="s">
        <v>478</v>
      </c>
      <c r="AV9" s="3" t="s">
        <v>483</v>
      </c>
      <c r="AW9" s="3" t="s">
        <v>362</v>
      </c>
      <c r="AX9" s="5">
        <v>0.08</v>
      </c>
      <c r="AZ9" s="5">
        <v>0.08</v>
      </c>
      <c r="BB9" s="5"/>
      <c r="BC9" s="5"/>
      <c r="BD9" s="5">
        <f>((22.6+6.8)*1000000)/((49387.2+151.4)*1000000)</f>
        <v>5.9347660208403151E-4</v>
      </c>
      <c r="BE9" s="3" t="s">
        <v>434</v>
      </c>
      <c r="BF9" s="4">
        <v>56616500000</v>
      </c>
      <c r="BG9" s="4">
        <v>51252900000</v>
      </c>
      <c r="BH9" s="4">
        <v>-5363500000</v>
      </c>
      <c r="BI9" s="5">
        <v>1.105</v>
      </c>
      <c r="BJ9" s="4">
        <v>7326800000</v>
      </c>
      <c r="BK9" s="4">
        <f>-2628200000-14300000</f>
        <v>-2642500000</v>
      </c>
      <c r="BL9" s="4"/>
      <c r="BM9" s="4"/>
      <c r="BN9" s="4"/>
      <c r="BO9" s="4"/>
      <c r="BP9" s="4"/>
      <c r="BQ9" s="4"/>
      <c r="BR9" s="4"/>
      <c r="BS9" s="4"/>
      <c r="BT9" s="4">
        <f>288100000+29700000</f>
        <v>317800000</v>
      </c>
      <c r="BU9" s="4"/>
      <c r="BV9" s="4"/>
      <c r="BW9" s="4"/>
      <c r="BX9" s="4"/>
      <c r="BY9" s="4"/>
      <c r="BZ9" s="4"/>
      <c r="CA9" s="4"/>
      <c r="CB9" s="4"/>
      <c r="CC9" s="4"/>
      <c r="CD9" s="4">
        <f>20.3*1000000</f>
        <v>20300000</v>
      </c>
      <c r="CE9" s="4"/>
      <c r="CF9" s="4"/>
      <c r="CG9" s="4">
        <f>255100000+36400000</f>
        <v>291500000</v>
      </c>
      <c r="CH9" s="31">
        <f>(484.4-3232.6-43.2+1.2)*1000000</f>
        <v>-2790200000</v>
      </c>
      <c r="CI9" s="4"/>
      <c r="CJ9" s="4"/>
      <c r="CK9" s="4"/>
      <c r="CL9" s="4"/>
      <c r="CM9" s="4">
        <f>73400000+3100000-15100000</f>
        <v>61400000</v>
      </c>
      <c r="CN9" s="4">
        <f>240700000+100000</f>
        <v>240800000</v>
      </c>
      <c r="CO9" s="4"/>
      <c r="CP9" s="4">
        <f>-997300000-81800000</f>
        <v>-1079100000</v>
      </c>
    </row>
    <row r="10" spans="1:94" x14ac:dyDescent="0.35">
      <c r="A10" s="3" t="s">
        <v>319</v>
      </c>
      <c r="B10" s="3">
        <f t="shared" si="0"/>
        <v>2007</v>
      </c>
      <c r="C10" s="3">
        <v>2010</v>
      </c>
      <c r="D10" s="3" t="s">
        <v>512</v>
      </c>
      <c r="E10" s="5"/>
      <c r="F10" s="5" t="s">
        <v>564</v>
      </c>
      <c r="G10" s="5" t="s">
        <v>559</v>
      </c>
      <c r="H10" s="11"/>
      <c r="I10" s="5" t="s">
        <v>565</v>
      </c>
      <c r="J10" s="5" t="s">
        <v>565</v>
      </c>
      <c r="K10" s="5"/>
      <c r="L10" s="79">
        <f>798.3*1000000</f>
        <v>798300000</v>
      </c>
      <c r="M10" s="21">
        <f>(1.4+14.8)*1000000</f>
        <v>16200000</v>
      </c>
      <c r="O10" s="5"/>
      <c r="P10" s="5"/>
      <c r="Q10" s="5"/>
      <c r="R10" s="5" t="s">
        <v>566</v>
      </c>
      <c r="S10" s="5" t="s">
        <v>609</v>
      </c>
      <c r="T10" s="3" t="s">
        <v>433</v>
      </c>
      <c r="U10" s="5"/>
      <c r="V10" s="5"/>
      <c r="W10" s="3" t="s">
        <v>515</v>
      </c>
      <c r="X10" s="3" t="s">
        <v>434</v>
      </c>
      <c r="Z10" s="5"/>
      <c r="AA10" s="5"/>
      <c r="AB10" s="5" t="s">
        <v>522</v>
      </c>
      <c r="AC10" s="3" t="s">
        <v>321</v>
      </c>
      <c r="AD10" s="3" t="s">
        <v>321</v>
      </c>
      <c r="AF10" s="3" t="s">
        <v>434</v>
      </c>
      <c r="AG10" s="3" t="s">
        <v>321</v>
      </c>
      <c r="AH10" s="3" t="s">
        <v>434</v>
      </c>
      <c r="AI10" s="3" t="s">
        <v>321</v>
      </c>
      <c r="AJ10" s="5">
        <v>2.75E-2</v>
      </c>
      <c r="AK10" s="5">
        <v>0.08</v>
      </c>
      <c r="AL10" s="5">
        <v>3.7499999999999999E-2</v>
      </c>
      <c r="AM10" s="3" t="s">
        <v>667</v>
      </c>
      <c r="AN10" s="3" t="s">
        <v>503</v>
      </c>
      <c r="AO10" s="3" t="s">
        <v>502</v>
      </c>
      <c r="AP10" s="3" t="s">
        <v>320</v>
      </c>
      <c r="AQ10" s="3">
        <v>2000</v>
      </c>
      <c r="AS10" s="3" t="s">
        <v>524</v>
      </c>
      <c r="AU10" s="3" t="s">
        <v>478</v>
      </c>
      <c r="AV10" s="3" t="s">
        <v>484</v>
      </c>
      <c r="AW10" s="3" t="s">
        <v>362</v>
      </c>
      <c r="AX10" s="5">
        <v>0.08</v>
      </c>
      <c r="AZ10" s="5">
        <v>0.08</v>
      </c>
      <c r="BB10" s="5"/>
      <c r="BC10" s="5"/>
      <c r="BD10" s="5">
        <f>((30.7+6.7)*1000000)/((51849.2+275.1)*1000000)</f>
        <v>7.1751563090535514E-4</v>
      </c>
      <c r="BE10" s="3" t="s">
        <v>434</v>
      </c>
      <c r="BF10" s="4">
        <v>59327800000</v>
      </c>
      <c r="BG10" s="4">
        <v>52871200000</v>
      </c>
      <c r="BH10" s="4">
        <v>-6456700000</v>
      </c>
      <c r="BI10" s="5">
        <v>1.1220000000000001</v>
      </c>
      <c r="BJ10" s="4">
        <v>7721800000</v>
      </c>
      <c r="BK10" s="4">
        <f>-315800000-8200000</f>
        <v>-324000000</v>
      </c>
      <c r="BL10" s="4"/>
      <c r="BM10" s="4"/>
      <c r="BN10" s="4"/>
      <c r="BO10" s="4"/>
      <c r="BP10" s="4"/>
      <c r="BQ10" s="4"/>
      <c r="BR10" s="4"/>
      <c r="BS10" s="4"/>
      <c r="BT10" s="4">
        <f>-141100000+21500000</f>
        <v>-119600000</v>
      </c>
      <c r="BU10" s="4"/>
      <c r="BV10" s="4"/>
      <c r="BW10" s="4"/>
      <c r="BX10" s="4"/>
      <c r="BY10" s="4"/>
      <c r="BZ10" s="4"/>
      <c r="CA10" s="4"/>
      <c r="CB10" s="4"/>
      <c r="CC10" s="4"/>
      <c r="CD10" s="4">
        <f>269.1*1000000</f>
        <v>269100000</v>
      </c>
      <c r="CE10" s="4"/>
      <c r="CF10" s="4"/>
      <c r="CG10" s="4">
        <f>329000000+6000000</f>
        <v>335000000</v>
      </c>
      <c r="CH10" s="31">
        <f>(-30.4-484.8-72.1+36.4)*1000000</f>
        <v>-550900000.00000012</v>
      </c>
      <c r="CI10" s="4"/>
      <c r="CJ10" s="4"/>
      <c r="CK10" s="4"/>
      <c r="CL10" s="4"/>
      <c r="CM10" s="4">
        <v>0</v>
      </c>
      <c r="CN10" s="4">
        <f>46700000-2400000</f>
        <v>44300000</v>
      </c>
      <c r="CO10" s="4"/>
      <c r="CP10" s="4">
        <f>-703100000-106500000</f>
        <v>-809600000</v>
      </c>
    </row>
    <row r="11" spans="1:94" x14ac:dyDescent="0.35">
      <c r="A11" s="3" t="s">
        <v>319</v>
      </c>
      <c r="B11" s="3">
        <f t="shared" si="0"/>
        <v>2008</v>
      </c>
      <c r="D11" s="3" t="s">
        <v>512</v>
      </c>
      <c r="E11" s="5"/>
      <c r="F11" s="5" t="s">
        <v>568</v>
      </c>
      <c r="G11" s="5" t="s">
        <v>559</v>
      </c>
      <c r="H11" s="11"/>
      <c r="I11" s="5" t="s">
        <v>567</v>
      </c>
      <c r="J11" s="5" t="s">
        <v>567</v>
      </c>
      <c r="K11" s="5"/>
      <c r="L11" s="79">
        <f>676.4*1000000</f>
        <v>676400000</v>
      </c>
      <c r="M11" s="21">
        <f>(1.5+5.8)*1000000</f>
        <v>7300000</v>
      </c>
      <c r="O11" s="5"/>
      <c r="P11" s="5"/>
      <c r="Q11" s="5"/>
      <c r="R11" s="5" t="s">
        <v>603</v>
      </c>
      <c r="S11" s="5" t="s">
        <v>609</v>
      </c>
      <c r="T11" s="3" t="s">
        <v>433</v>
      </c>
      <c r="U11" s="5"/>
      <c r="V11" s="5"/>
      <c r="W11" s="3" t="s">
        <v>515</v>
      </c>
      <c r="X11" s="3" t="s">
        <v>434</v>
      </c>
      <c r="Z11" s="5"/>
      <c r="AA11" s="5"/>
      <c r="AB11" s="5" t="s">
        <v>522</v>
      </c>
      <c r="AC11" s="3" t="s">
        <v>321</v>
      </c>
      <c r="AD11" s="3" t="s">
        <v>321</v>
      </c>
      <c r="AF11" s="3" t="s">
        <v>434</v>
      </c>
      <c r="AG11" s="3" t="s">
        <v>321</v>
      </c>
      <c r="AH11" s="3" t="s">
        <v>434</v>
      </c>
      <c r="AI11" s="3" t="s">
        <v>321</v>
      </c>
      <c r="AJ11" s="5">
        <v>2.75E-2</v>
      </c>
      <c r="AK11" s="5">
        <v>0.08</v>
      </c>
      <c r="AL11" s="5">
        <v>3.7499999999999999E-2</v>
      </c>
      <c r="AM11" s="3" t="s">
        <v>666</v>
      </c>
      <c r="AN11" s="3" t="s">
        <v>503</v>
      </c>
      <c r="AO11" s="3" t="s">
        <v>502</v>
      </c>
      <c r="AP11" s="3" t="s">
        <v>494</v>
      </c>
      <c r="AQ11" s="3">
        <v>2000</v>
      </c>
      <c r="AS11" s="3" t="s">
        <v>488</v>
      </c>
      <c r="AU11" s="3" t="s">
        <v>478</v>
      </c>
      <c r="AV11" s="3" t="s">
        <v>484</v>
      </c>
      <c r="AW11" s="3" t="s">
        <v>362</v>
      </c>
      <c r="AX11" s="5">
        <v>0.08</v>
      </c>
      <c r="AZ11" s="5">
        <v>0.08</v>
      </c>
      <c r="BB11" s="5"/>
      <c r="BC11" s="5"/>
      <c r="BD11" s="5">
        <f>((22.4+6.9)*1000000)/((38565.8+270.5)*1000000)</f>
        <v>7.5444880176535865E-4</v>
      </c>
      <c r="BE11" s="3" t="s">
        <v>434</v>
      </c>
      <c r="BF11" s="4">
        <v>43520600000</v>
      </c>
      <c r="BG11" s="4">
        <v>54259500000</v>
      </c>
      <c r="BH11" s="4">
        <v>10738900000</v>
      </c>
      <c r="BI11" s="5">
        <v>0.80200000000000005</v>
      </c>
      <c r="BJ11" s="4">
        <v>8130100000</v>
      </c>
      <c r="BK11" s="4">
        <f>15623400000+126500000</f>
        <v>15749900000</v>
      </c>
      <c r="BL11" s="4"/>
      <c r="BM11" s="4"/>
      <c r="BN11" s="4"/>
      <c r="BO11" s="4"/>
      <c r="BP11" s="4"/>
      <c r="BQ11" s="4"/>
      <c r="BR11" s="4"/>
      <c r="BS11" s="4"/>
      <c r="BT11" s="4">
        <f>-731600000+30400000</f>
        <v>-701200000</v>
      </c>
      <c r="BU11" s="4"/>
      <c r="BV11" s="4"/>
      <c r="BW11" s="4"/>
      <c r="BX11" s="4"/>
      <c r="BY11" s="4"/>
      <c r="BZ11" s="4"/>
      <c r="CA11" s="4"/>
      <c r="CB11" s="4"/>
      <c r="CC11" s="4"/>
      <c r="CD11" s="4">
        <v>491400000</v>
      </c>
      <c r="CE11" s="4"/>
      <c r="CF11" s="4"/>
      <c r="CG11" s="4">
        <v>86700000</v>
      </c>
      <c r="CH11" s="31">
        <f>(15807.1-1273.6+66.3+72.1)*1000000</f>
        <v>14671900000</v>
      </c>
      <c r="CI11" s="4"/>
      <c r="CJ11" s="4"/>
      <c r="CK11" s="4"/>
      <c r="CL11" s="4"/>
      <c r="CM11" s="4">
        <f>284800000+1300000</f>
        <v>286100000</v>
      </c>
      <c r="CN11" s="4">
        <v>-3000000</v>
      </c>
      <c r="CO11" s="4"/>
      <c r="CP11" s="4">
        <f>-1134400000-103500000</f>
        <v>-1237900000</v>
      </c>
    </row>
    <row r="12" spans="1:94" x14ac:dyDescent="0.35">
      <c r="A12" s="3" t="s">
        <v>319</v>
      </c>
      <c r="B12" s="3">
        <f t="shared" si="0"/>
        <v>2009</v>
      </c>
      <c r="C12" s="3">
        <v>2012</v>
      </c>
      <c r="D12" s="3" t="s">
        <v>512</v>
      </c>
      <c r="E12" s="5"/>
      <c r="F12" s="5" t="s">
        <v>604</v>
      </c>
      <c r="G12" s="5" t="s">
        <v>559</v>
      </c>
      <c r="H12" s="11"/>
      <c r="I12" s="5" t="s">
        <v>569</v>
      </c>
      <c r="J12" s="5" t="s">
        <v>569</v>
      </c>
      <c r="K12" s="5"/>
      <c r="L12" s="79">
        <f>600.2*1000000</f>
        <v>600200000</v>
      </c>
      <c r="M12" s="21">
        <f>(1.5+9.7)*1000000</f>
        <v>11200000</v>
      </c>
      <c r="O12" s="5"/>
      <c r="P12" s="5"/>
      <c r="Q12" s="5"/>
      <c r="R12" s="5" t="s">
        <v>570</v>
      </c>
      <c r="S12" s="5" t="s">
        <v>609</v>
      </c>
      <c r="T12" s="3" t="s">
        <v>433</v>
      </c>
      <c r="U12" s="5"/>
      <c r="V12" s="5"/>
      <c r="W12" s="3" t="s">
        <v>515</v>
      </c>
      <c r="X12" s="3" t="s">
        <v>434</v>
      </c>
      <c r="Z12" s="5"/>
      <c r="AA12" s="5"/>
      <c r="AB12" s="5" t="s">
        <v>522</v>
      </c>
      <c r="AC12" s="3" t="s">
        <v>321</v>
      </c>
      <c r="AD12" s="3" t="s">
        <v>321</v>
      </c>
      <c r="AF12" s="3" t="s">
        <v>434</v>
      </c>
      <c r="AG12" s="3" t="s">
        <v>321</v>
      </c>
      <c r="AH12" s="3" t="s">
        <v>434</v>
      </c>
      <c r="AI12" s="3" t="s">
        <v>321</v>
      </c>
      <c r="AJ12" s="5">
        <v>2.75E-2</v>
      </c>
      <c r="AK12" s="5">
        <v>0.08</v>
      </c>
      <c r="AL12" s="5">
        <v>3.7499999999999999E-2</v>
      </c>
      <c r="AM12" s="3" t="s">
        <v>666</v>
      </c>
      <c r="AN12" s="3" t="s">
        <v>505</v>
      </c>
      <c r="AO12" s="3" t="s">
        <v>504</v>
      </c>
      <c r="AP12" s="3" t="s">
        <v>494</v>
      </c>
      <c r="AQ12" s="3">
        <v>2000</v>
      </c>
      <c r="AS12" s="3" t="s">
        <v>488</v>
      </c>
      <c r="AU12" s="3" t="s">
        <v>478</v>
      </c>
      <c r="AV12" s="3" t="s">
        <v>484</v>
      </c>
      <c r="AW12" s="3" t="s">
        <v>362</v>
      </c>
      <c r="AX12" s="5">
        <v>0.08</v>
      </c>
      <c r="AZ12" s="5">
        <v>0.08</v>
      </c>
      <c r="BB12" s="5"/>
      <c r="BC12" s="5"/>
      <c r="BD12" s="5">
        <f>((25.3+6.7)*1000000)/((43251.1+445.4)*1000000)</f>
        <v>7.3232409918414518E-4</v>
      </c>
      <c r="BE12" s="3" t="s">
        <v>434</v>
      </c>
      <c r="BF12" s="4">
        <v>48729200000</v>
      </c>
      <c r="BG12" s="4">
        <v>56810600000</v>
      </c>
      <c r="BH12" s="4">
        <v>8081400000</v>
      </c>
      <c r="BI12" s="5">
        <v>0.85799999999999998</v>
      </c>
      <c r="BJ12" s="4">
        <v>8512200000.000001</v>
      </c>
      <c r="BK12" s="4">
        <f>-3548700000-46100000</f>
        <v>-3594800000</v>
      </c>
      <c r="BL12" s="4"/>
      <c r="BM12" s="4"/>
      <c r="BN12" s="4"/>
      <c r="BO12" s="4"/>
      <c r="BP12" s="4"/>
      <c r="BQ12" s="4"/>
      <c r="BR12" s="4"/>
      <c r="BS12" s="4"/>
      <c r="BT12" s="4">
        <f>465600000+51400000</f>
        <v>517000000</v>
      </c>
      <c r="BU12" s="4"/>
      <c r="BV12" s="4"/>
      <c r="BW12" s="4"/>
      <c r="BX12" s="4"/>
      <c r="BY12" s="4"/>
      <c r="BZ12" s="4"/>
      <c r="CA12" s="4"/>
      <c r="CB12" s="4"/>
      <c r="CC12" s="4"/>
      <c r="CD12" s="4">
        <f>1776500000+(16.1*1000000)</f>
        <v>1792600000</v>
      </c>
      <c r="CE12" s="4"/>
      <c r="CF12" s="4"/>
      <c r="CG12" s="4">
        <v>117400000</v>
      </c>
      <c r="CH12" s="31">
        <f>(13481.6-15807.1+90.1-66.3)*1000000</f>
        <v>-2301700000.0000005</v>
      </c>
      <c r="CI12" s="4"/>
      <c r="CJ12" s="4"/>
      <c r="CK12" s="4"/>
      <c r="CL12" s="4"/>
      <c r="CM12" s="4">
        <f>900000+1600000</f>
        <v>2500000</v>
      </c>
      <c r="CN12" s="4">
        <v>10300000</v>
      </c>
      <c r="CO12" s="4"/>
      <c r="CP12" s="4">
        <f>-1035900000-110800000</f>
        <v>-1146700000</v>
      </c>
    </row>
    <row r="13" spans="1:94" x14ac:dyDescent="0.35">
      <c r="A13" s="3" t="s">
        <v>319</v>
      </c>
      <c r="B13" s="3">
        <f t="shared" si="0"/>
        <v>2010</v>
      </c>
      <c r="D13" s="3" t="s">
        <v>512</v>
      </c>
      <c r="E13" s="5"/>
      <c r="F13" s="5" t="s">
        <v>571</v>
      </c>
      <c r="G13" s="5" t="s">
        <v>559</v>
      </c>
      <c r="H13" s="11"/>
      <c r="I13" s="5" t="s">
        <v>572</v>
      </c>
      <c r="J13" s="5" t="s">
        <v>572</v>
      </c>
      <c r="K13" s="5"/>
      <c r="L13" s="79">
        <f>449.5*1000000</f>
        <v>449500000</v>
      </c>
      <c r="M13" s="21">
        <f>(1.5+12.8)*1000000</f>
        <v>14300000</v>
      </c>
      <c r="O13" s="5"/>
      <c r="P13" s="5"/>
      <c r="Q13" s="5"/>
      <c r="R13" s="5" t="s">
        <v>573</v>
      </c>
      <c r="S13" s="5" t="s">
        <v>609</v>
      </c>
      <c r="T13" s="3" t="s">
        <v>433</v>
      </c>
      <c r="U13" s="5"/>
      <c r="V13" s="5"/>
      <c r="W13" s="3" t="s">
        <v>515</v>
      </c>
      <c r="X13" s="3" t="s">
        <v>434</v>
      </c>
      <c r="Z13" s="5"/>
      <c r="AA13" s="5"/>
      <c r="AB13" s="5" t="s">
        <v>522</v>
      </c>
      <c r="AC13" s="3" t="s">
        <v>321</v>
      </c>
      <c r="AD13" s="3" t="s">
        <v>321</v>
      </c>
      <c r="AF13" s="3" t="s">
        <v>434</v>
      </c>
      <c r="AG13" s="3" t="s">
        <v>321</v>
      </c>
      <c r="AH13" s="3" t="s">
        <v>434</v>
      </c>
      <c r="AI13" s="3" t="s">
        <v>321</v>
      </c>
      <c r="AJ13" s="5">
        <v>2.75E-2</v>
      </c>
      <c r="AK13" s="5">
        <v>0.08</v>
      </c>
      <c r="AL13" s="5">
        <v>3.7499999999999999E-2</v>
      </c>
      <c r="AM13" s="3" t="s">
        <v>665</v>
      </c>
      <c r="AN13" s="3" t="s">
        <v>444</v>
      </c>
      <c r="AO13" s="3" t="s">
        <v>450</v>
      </c>
      <c r="AP13" s="3" t="s">
        <v>494</v>
      </c>
      <c r="AQ13" s="3">
        <v>2000</v>
      </c>
      <c r="AS13" s="3" t="s">
        <v>489</v>
      </c>
      <c r="AU13" s="3" t="s">
        <v>478</v>
      </c>
      <c r="AV13" s="3" t="s">
        <v>484</v>
      </c>
      <c r="AW13" s="3" t="s">
        <v>362</v>
      </c>
      <c r="AX13" s="5">
        <v>0.08</v>
      </c>
      <c r="AZ13" s="5">
        <v>0.08</v>
      </c>
      <c r="BB13" s="5"/>
      <c r="BC13" s="5"/>
      <c r="BD13" s="5">
        <f>((22.8+6.1)*1000000)/((45992.1+659)*1000000)</f>
        <v>6.1949235923697407E-4</v>
      </c>
      <c r="BE13" s="3" t="s">
        <v>434</v>
      </c>
      <c r="BF13" s="4">
        <v>51583500000</v>
      </c>
      <c r="BG13" s="4">
        <v>59329500000</v>
      </c>
      <c r="BH13" s="4">
        <v>7746000000</v>
      </c>
      <c r="BI13" s="5">
        <v>0.86899999999999999</v>
      </c>
      <c r="BJ13" s="4">
        <v>8750100000</v>
      </c>
      <c r="BK13" s="4">
        <f>-1436800000-33600000</f>
        <v>-1470400000</v>
      </c>
      <c r="BL13" s="4"/>
      <c r="BM13" s="4"/>
      <c r="BN13" s="4"/>
      <c r="BO13" s="4"/>
      <c r="BP13" s="4"/>
      <c r="BQ13" s="4"/>
      <c r="BR13" s="4"/>
      <c r="BS13" s="4"/>
      <c r="BT13" s="4">
        <f>175900000+50800000</f>
        <v>226700000</v>
      </c>
      <c r="BU13" s="4"/>
      <c r="BV13" s="4"/>
      <c r="BW13" s="4"/>
      <c r="BX13" s="4"/>
      <c r="BY13" s="4"/>
      <c r="BZ13" s="4"/>
      <c r="CA13" s="4"/>
      <c r="CB13" s="4"/>
      <c r="CC13" s="4"/>
      <c r="CD13" s="4">
        <v>1634300000</v>
      </c>
      <c r="CE13" s="4"/>
      <c r="CF13" s="4"/>
      <c r="CG13" s="4">
        <v>152400000</v>
      </c>
      <c r="CH13" s="31">
        <f>(13216.5-13481.6+108.6-90.1)*1000000</f>
        <v>-246600000.00000036</v>
      </c>
      <c r="CI13" s="4"/>
      <c r="CJ13" s="4"/>
      <c r="CK13" s="4"/>
      <c r="CL13" s="4"/>
      <c r="CM13" s="4">
        <f>235200000-17900000</f>
        <v>217300000</v>
      </c>
      <c r="CN13" s="4">
        <v>13500000</v>
      </c>
      <c r="CO13" s="4"/>
      <c r="CP13" s="4">
        <f>-873800000-146700000</f>
        <v>-1020500000</v>
      </c>
    </row>
    <row r="14" spans="1:94" x14ac:dyDescent="0.35">
      <c r="A14" s="3" t="s">
        <v>319</v>
      </c>
      <c r="B14" s="3">
        <f t="shared" si="0"/>
        <v>2011</v>
      </c>
      <c r="C14" s="3">
        <v>2014</v>
      </c>
      <c r="D14" s="3" t="s">
        <v>445</v>
      </c>
      <c r="E14" s="5"/>
      <c r="F14" s="5" t="s">
        <v>574</v>
      </c>
      <c r="G14" s="5" t="s">
        <v>559</v>
      </c>
      <c r="H14" s="11"/>
      <c r="I14" s="5" t="s">
        <v>575</v>
      </c>
      <c r="J14" s="5" t="s">
        <v>575</v>
      </c>
      <c r="K14" s="5"/>
      <c r="L14" s="79">
        <f>644.2*1000000</f>
        <v>644200000</v>
      </c>
      <c r="M14" s="21">
        <f>(1.5+14.3)*1000000</f>
        <v>15800000</v>
      </c>
      <c r="O14" s="5"/>
      <c r="P14" s="5"/>
      <c r="Q14" s="5"/>
      <c r="R14" s="5" t="s">
        <v>576</v>
      </c>
      <c r="S14" s="5" t="s">
        <v>609</v>
      </c>
      <c r="T14" s="3" t="s">
        <v>433</v>
      </c>
      <c r="U14" s="5"/>
      <c r="V14" s="5"/>
      <c r="W14" s="3" t="s">
        <v>515</v>
      </c>
      <c r="X14" s="3" t="s">
        <v>434</v>
      </c>
      <c r="Z14" s="5"/>
      <c r="AA14" s="5"/>
      <c r="AB14" s="5" t="s">
        <v>522</v>
      </c>
      <c r="AC14" s="3" t="s">
        <v>321</v>
      </c>
      <c r="AD14" s="3" t="s">
        <v>321</v>
      </c>
      <c r="AF14" s="3" t="s">
        <v>434</v>
      </c>
      <c r="AG14" s="3" t="s">
        <v>321</v>
      </c>
      <c r="AH14" s="3" t="s">
        <v>434</v>
      </c>
      <c r="AI14" s="3" t="s">
        <v>321</v>
      </c>
      <c r="AJ14" s="5">
        <v>2.75E-2</v>
      </c>
      <c r="AK14" s="5">
        <v>0.08</v>
      </c>
      <c r="AL14" s="5">
        <v>3.7499999999999999E-2</v>
      </c>
      <c r="AM14" s="3" t="s">
        <v>665</v>
      </c>
      <c r="AN14" s="3" t="s">
        <v>446</v>
      </c>
      <c r="AO14" s="3" t="s">
        <v>503</v>
      </c>
      <c r="AP14" s="3" t="s">
        <v>494</v>
      </c>
      <c r="AQ14" s="3">
        <v>2000</v>
      </c>
      <c r="AS14" s="3" t="s">
        <v>489</v>
      </c>
      <c r="AU14" s="3" t="s">
        <v>478</v>
      </c>
      <c r="AV14" s="3" t="s">
        <v>484</v>
      </c>
      <c r="AW14" s="3" t="s">
        <v>362</v>
      </c>
      <c r="AX14" s="5">
        <v>0.08</v>
      </c>
      <c r="AZ14" s="5">
        <v>0.08</v>
      </c>
      <c r="BB14" s="5"/>
      <c r="BC14" s="5"/>
      <c r="BD14" s="5">
        <f>((22.2+6.9)*1000000)/((44889+840.5)*1000000)</f>
        <v>6.3635071452782118E-4</v>
      </c>
      <c r="BE14" s="3" t="s">
        <v>434</v>
      </c>
      <c r="BF14" s="4">
        <v>50168200000</v>
      </c>
      <c r="BG14" s="4">
        <v>61198400000</v>
      </c>
      <c r="BH14" s="4">
        <v>11030200000</v>
      </c>
      <c r="BI14" s="5">
        <v>0.82</v>
      </c>
      <c r="BJ14" s="4">
        <v>8550500000</v>
      </c>
      <c r="BK14" s="4">
        <f>38500000+(2320.7*1000000)</f>
        <v>2359200000</v>
      </c>
      <c r="BL14" s="4"/>
      <c r="BM14" s="4"/>
      <c r="BN14" s="4"/>
      <c r="BO14" s="4"/>
      <c r="BP14" s="4"/>
      <c r="BQ14" s="4"/>
      <c r="BR14" s="4"/>
      <c r="BS14" s="4"/>
      <c r="BT14" s="4">
        <f>-25200000-69400000</f>
        <v>-94600000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f>1598600000+(0.6*1000000)</f>
        <v>1599200000</v>
      </c>
      <c r="CE14" s="4"/>
      <c r="CF14" s="4"/>
      <c r="CG14" s="4">
        <v>179500000</v>
      </c>
      <c r="CH14" s="31">
        <f>(16109.4-13216.5+145.9-108.6)*1000000</f>
        <v>2930200000</v>
      </c>
      <c r="CI14" s="4"/>
      <c r="CJ14" s="4"/>
      <c r="CK14" s="4"/>
      <c r="CL14" s="4"/>
      <c r="CM14" s="4">
        <v>0</v>
      </c>
      <c r="CN14" s="4">
        <v>16200000</v>
      </c>
      <c r="CO14" s="4"/>
      <c r="CP14" s="4">
        <f>-171700000-957600000</f>
        <v>-1129300000</v>
      </c>
    </row>
    <row r="15" spans="1:94" x14ac:dyDescent="0.35">
      <c r="A15" s="3" t="s">
        <v>319</v>
      </c>
      <c r="B15" s="3">
        <f t="shared" si="0"/>
        <v>2012</v>
      </c>
      <c r="D15" s="3" t="s">
        <v>445</v>
      </c>
      <c r="E15" s="5"/>
      <c r="F15" s="5" t="s">
        <v>578</v>
      </c>
      <c r="G15" s="5" t="s">
        <v>577</v>
      </c>
      <c r="H15" s="11"/>
      <c r="I15" s="5" t="s">
        <v>579</v>
      </c>
      <c r="J15" s="5" t="s">
        <v>579</v>
      </c>
      <c r="K15" s="5"/>
      <c r="L15" s="79">
        <f>928.7*1000000</f>
        <v>928700000</v>
      </c>
      <c r="M15" s="21">
        <f>(1.5+12.6)*1000000</f>
        <v>14100000</v>
      </c>
      <c r="O15" s="5"/>
      <c r="P15" s="5"/>
      <c r="Q15" s="5"/>
      <c r="R15" s="5" t="s">
        <v>605</v>
      </c>
      <c r="S15" s="5" t="s">
        <v>609</v>
      </c>
      <c r="T15" s="3" t="s">
        <v>433</v>
      </c>
      <c r="U15" s="5"/>
      <c r="V15" s="5"/>
      <c r="W15" s="3" t="s">
        <v>515</v>
      </c>
      <c r="X15" s="3" t="s">
        <v>434</v>
      </c>
      <c r="Z15" s="5" t="s">
        <v>520</v>
      </c>
      <c r="AA15" s="5"/>
      <c r="AB15" s="5" t="s">
        <v>519</v>
      </c>
      <c r="AC15" s="3" t="s">
        <v>321</v>
      </c>
      <c r="AD15" s="3" t="s">
        <v>321</v>
      </c>
      <c r="AF15" s="3" t="s">
        <v>434</v>
      </c>
      <c r="AG15" s="3" t="s">
        <v>321</v>
      </c>
      <c r="AH15" s="3" t="s">
        <v>434</v>
      </c>
      <c r="AI15" s="3" t="s">
        <v>321</v>
      </c>
      <c r="AJ15" s="5">
        <v>2.75E-2</v>
      </c>
      <c r="AK15" s="5">
        <v>7.7499999999999999E-2</v>
      </c>
      <c r="AL15" s="5">
        <v>3.7499999999999999E-2</v>
      </c>
      <c r="AM15" s="3" t="s">
        <v>664</v>
      </c>
      <c r="AN15" s="3" t="s">
        <v>447</v>
      </c>
      <c r="AO15" s="3" t="s">
        <v>506</v>
      </c>
      <c r="AP15" s="3" t="s">
        <v>494</v>
      </c>
      <c r="AQ15" s="3">
        <v>2000</v>
      </c>
      <c r="AS15" s="3" t="s">
        <v>490</v>
      </c>
      <c r="AU15" s="3" t="s">
        <v>478</v>
      </c>
      <c r="AV15" s="3" t="s">
        <v>484</v>
      </c>
      <c r="AW15" s="3" t="s">
        <v>323</v>
      </c>
      <c r="AX15" s="5">
        <v>7.7499999999999999E-2</v>
      </c>
      <c r="AZ15" s="5">
        <v>7.7499999999999999E-2</v>
      </c>
      <c r="BB15" s="5"/>
      <c r="BC15" s="5"/>
      <c r="BD15" s="5">
        <f>((26.4+5.3)*1000000)/((48513.5+1190)*1000000)</f>
        <v>6.3778204754192356E-4</v>
      </c>
      <c r="BE15" s="3" t="s">
        <v>434</v>
      </c>
      <c r="BF15" s="4">
        <v>54784100000</v>
      </c>
      <c r="BG15" s="4">
        <v>60405200000</v>
      </c>
      <c r="BH15" s="4">
        <v>5621100000</v>
      </c>
      <c r="BI15" s="5">
        <v>0.90700000000000003</v>
      </c>
      <c r="BJ15" s="4">
        <v>8590900000</v>
      </c>
      <c r="BK15" s="4">
        <f>-75200000-279200000</f>
        <v>-354400000</v>
      </c>
      <c r="BL15" s="4"/>
      <c r="BM15" s="4"/>
      <c r="BN15" s="4"/>
      <c r="BO15" s="4"/>
      <c r="BP15" s="4"/>
      <c r="BQ15" s="4"/>
      <c r="BR15" s="4"/>
      <c r="BS15" s="4"/>
      <c r="BT15" s="4">
        <f>-100000-151700000</f>
        <v>-151800000</v>
      </c>
      <c r="BU15" s="4"/>
      <c r="BV15" s="4"/>
      <c r="BW15" s="4"/>
      <c r="BX15" s="4"/>
      <c r="BY15" s="4"/>
      <c r="BZ15" s="4"/>
      <c r="CA15" s="4"/>
      <c r="CB15" s="4"/>
      <c r="CC15" s="4"/>
      <c r="CD15" s="4">
        <v>1816400000</v>
      </c>
      <c r="CF15" s="4"/>
      <c r="CG15" s="4">
        <v>191700000</v>
      </c>
      <c r="CH15" s="31">
        <f>(10533.7-16109.4+605.5-145.9)*1000000</f>
        <v>-5116099999.9999981</v>
      </c>
      <c r="CI15" s="4"/>
      <c r="CJ15" s="4"/>
      <c r="CK15" s="4"/>
      <c r="CL15" s="4"/>
      <c r="CM15" s="4">
        <f>(678-143.2-3314.7)*1000000</f>
        <v>-2779899999.9999995</v>
      </c>
      <c r="CN15" s="4">
        <v>18400000</v>
      </c>
      <c r="CO15" s="4"/>
      <c r="CP15" s="4">
        <f>-209900000-1133700000</f>
        <v>-1343600000</v>
      </c>
    </row>
    <row r="16" spans="1:94" x14ac:dyDescent="0.35">
      <c r="A16" s="3" t="s">
        <v>319</v>
      </c>
      <c r="B16" s="3">
        <f t="shared" si="0"/>
        <v>2013</v>
      </c>
      <c r="C16" s="3">
        <v>2016</v>
      </c>
      <c r="D16" s="3" t="s">
        <v>445</v>
      </c>
      <c r="E16" s="5"/>
      <c r="F16" s="5" t="s">
        <v>580</v>
      </c>
      <c r="G16" s="5" t="s">
        <v>577</v>
      </c>
      <c r="H16" s="11"/>
      <c r="I16" s="5" t="s">
        <v>581</v>
      </c>
      <c r="J16" s="5" t="s">
        <v>581</v>
      </c>
      <c r="K16" s="5"/>
      <c r="L16" s="79">
        <f>1567.1*1000000</f>
        <v>1567100000</v>
      </c>
      <c r="M16" s="21">
        <f>(1.5+17.1)*1000000</f>
        <v>18600000</v>
      </c>
      <c r="O16" s="5"/>
      <c r="P16" s="5"/>
      <c r="Q16" s="5"/>
      <c r="R16" s="5" t="s">
        <v>606</v>
      </c>
      <c r="S16" s="5" t="s">
        <v>609</v>
      </c>
      <c r="T16" s="3" t="s">
        <v>433</v>
      </c>
      <c r="U16" s="5"/>
      <c r="V16" s="5"/>
      <c r="W16" s="3" t="s">
        <v>515</v>
      </c>
      <c r="X16" s="3" t="s">
        <v>434</v>
      </c>
      <c r="Z16" s="5" t="s">
        <v>520</v>
      </c>
      <c r="AA16" s="5"/>
      <c r="AB16" s="5" t="s">
        <v>519</v>
      </c>
      <c r="AC16" s="3" t="s">
        <v>321</v>
      </c>
      <c r="AD16" s="3" t="s">
        <v>321</v>
      </c>
      <c r="AF16" s="3" t="s">
        <v>434</v>
      </c>
      <c r="AG16" s="3" t="s">
        <v>321</v>
      </c>
      <c r="AH16" s="3" t="s">
        <v>434</v>
      </c>
      <c r="AI16" s="3" t="s">
        <v>321</v>
      </c>
      <c r="AJ16" s="5">
        <v>2.75E-2</v>
      </c>
      <c r="AK16" s="5">
        <v>7.7499999999999999E-2</v>
      </c>
      <c r="AL16" s="5">
        <v>3.7499999999999999E-2</v>
      </c>
      <c r="AM16" s="3" t="s">
        <v>664</v>
      </c>
      <c r="AN16" s="3" t="s">
        <v>448</v>
      </c>
      <c r="AO16" s="3" t="s">
        <v>507</v>
      </c>
      <c r="AP16" s="3" t="s">
        <v>494</v>
      </c>
      <c r="AQ16" s="3">
        <v>2000</v>
      </c>
      <c r="AR16" s="3" t="s">
        <v>496</v>
      </c>
      <c r="AS16" s="3" t="s">
        <v>490</v>
      </c>
      <c r="AU16" s="3" t="s">
        <v>478</v>
      </c>
      <c r="AV16" s="3" t="s">
        <v>484</v>
      </c>
      <c r="AW16" s="3" t="s">
        <v>323</v>
      </c>
      <c r="AX16" s="5">
        <v>7.7499999999999999E-2</v>
      </c>
      <c r="AZ16" s="5">
        <v>7.7499999999999999E-2</v>
      </c>
      <c r="BB16" s="5"/>
      <c r="BC16" s="5"/>
      <c r="BD16" s="5">
        <f>((29.6+4.5)*1000000)/((53507.3+1630.2)*1000000)</f>
        <v>6.1845386533665838E-4</v>
      </c>
      <c r="BE16" s="3" t="s">
        <v>434</v>
      </c>
      <c r="BF16" s="4">
        <v>60014100000</v>
      </c>
      <c r="BG16" s="4">
        <v>62593600000</v>
      </c>
      <c r="BH16" s="4">
        <v>2579500000</v>
      </c>
      <c r="BI16" s="5">
        <v>0.95899999999999996</v>
      </c>
      <c r="BJ16" s="4">
        <v>8671800000</v>
      </c>
      <c r="BK16" s="4">
        <f>-122300000-3378000000</f>
        <v>-3500300000</v>
      </c>
      <c r="BL16" s="4"/>
      <c r="BM16" s="4"/>
      <c r="BN16" s="4"/>
      <c r="BO16" s="4"/>
      <c r="BP16" s="4"/>
      <c r="BQ16" s="4"/>
      <c r="BR16" s="4"/>
      <c r="BS16" s="4"/>
      <c r="BT16" s="4">
        <f>58800000+295200000</f>
        <v>354000000</v>
      </c>
      <c r="BU16" s="4"/>
      <c r="BV16" s="4"/>
      <c r="BW16" s="4"/>
      <c r="BX16" s="4"/>
      <c r="BY16" s="4"/>
      <c r="BZ16" s="4"/>
      <c r="CA16" s="4"/>
      <c r="CB16" s="4"/>
      <c r="CC16" s="4"/>
      <c r="CD16" s="4">
        <f>(29.8+1.9)*1000000</f>
        <v>31700000</v>
      </c>
      <c r="CE16" s="4"/>
      <c r="CF16" s="4"/>
      <c r="CG16" s="4">
        <f>252600000+718600000</f>
        <v>971200000</v>
      </c>
      <c r="CH16" s="31">
        <f>(7890.4-10533.7+613.2-605.5)*1000000</f>
        <v>-2635600000.0000014</v>
      </c>
      <c r="CI16" s="4"/>
      <c r="CJ16" s="4"/>
      <c r="CK16" s="4"/>
      <c r="CL16" s="4"/>
      <c r="CM16" s="4">
        <v>0</v>
      </c>
      <c r="CN16" s="4">
        <f>47800000+829000000</f>
        <v>876800000</v>
      </c>
      <c r="CO16" s="4"/>
      <c r="CP16" s="4">
        <f>-229300000-1139900000</f>
        <v>-1369200000</v>
      </c>
    </row>
    <row r="17" spans="1:94" x14ac:dyDescent="0.35">
      <c r="A17" s="3" t="s">
        <v>319</v>
      </c>
      <c r="B17" s="3">
        <f t="shared" si="0"/>
        <v>2014</v>
      </c>
      <c r="D17" s="3" t="s">
        <v>445</v>
      </c>
      <c r="E17" s="5"/>
      <c r="F17" s="5" t="s">
        <v>582</v>
      </c>
      <c r="G17" s="5" t="s">
        <v>577</v>
      </c>
      <c r="H17" s="11"/>
      <c r="I17" s="5" t="s">
        <v>583</v>
      </c>
      <c r="J17" s="5" t="s">
        <v>583</v>
      </c>
      <c r="K17" s="5"/>
      <c r="L17" s="79">
        <f>1006.8*1000000</f>
        <v>1006800000</v>
      </c>
      <c r="M17" s="21">
        <f>(1.6+11.6)*1000000</f>
        <v>13200000</v>
      </c>
      <c r="O17" s="5"/>
      <c r="P17" s="5"/>
      <c r="Q17" s="5"/>
      <c r="R17" s="5" t="s">
        <v>607</v>
      </c>
      <c r="S17" s="5" t="s">
        <v>609</v>
      </c>
      <c r="T17" s="3" t="s">
        <v>433</v>
      </c>
      <c r="U17" s="5"/>
      <c r="V17" s="5"/>
      <c r="W17" s="3" t="s">
        <v>515</v>
      </c>
      <c r="X17" s="3" t="s">
        <v>434</v>
      </c>
      <c r="Z17" s="5" t="s">
        <v>521</v>
      </c>
      <c r="AA17" s="5"/>
      <c r="AB17" s="5" t="s">
        <v>522</v>
      </c>
      <c r="AC17" s="3" t="s">
        <v>321</v>
      </c>
      <c r="AD17" s="3" t="s">
        <v>321</v>
      </c>
      <c r="AF17" s="3" t="s">
        <v>434</v>
      </c>
      <c r="AG17" s="3" t="s">
        <v>321</v>
      </c>
      <c r="AH17" s="3" t="s">
        <v>434</v>
      </c>
      <c r="AI17" s="3" t="s">
        <v>321</v>
      </c>
      <c r="AJ17" s="5">
        <v>2.5000000000000001E-2</v>
      </c>
      <c r="AK17" s="5">
        <v>7.4999999999999997E-2</v>
      </c>
      <c r="AL17" s="5">
        <v>3.5000000000000003E-2</v>
      </c>
      <c r="AM17" s="3" t="s">
        <v>663</v>
      </c>
      <c r="AN17" s="3" t="s">
        <v>444</v>
      </c>
      <c r="AO17" s="3" t="s">
        <v>450</v>
      </c>
      <c r="AP17" s="3" t="s">
        <v>494</v>
      </c>
      <c r="AQ17" s="3">
        <v>2000</v>
      </c>
      <c r="AR17" s="3" t="s">
        <v>495</v>
      </c>
      <c r="AS17" s="3" t="s">
        <v>490</v>
      </c>
      <c r="AU17" s="3" t="s">
        <v>478</v>
      </c>
      <c r="AV17" s="3" t="s">
        <v>484</v>
      </c>
      <c r="AW17" s="3" t="s">
        <v>323</v>
      </c>
      <c r="AX17" s="5">
        <v>7.7499999999999999E-2</v>
      </c>
      <c r="AZ17" s="5">
        <v>7.4999999999999997E-2</v>
      </c>
      <c r="BB17" s="5"/>
      <c r="BC17" s="5"/>
      <c r="BD17" s="5">
        <f>((30.1+5)*1000000)/((54517.1+2024.6)*1000000)</f>
        <v>6.2078076888385028E-4</v>
      </c>
      <c r="BE17" s="3" t="s">
        <v>434</v>
      </c>
      <c r="BF17" s="4">
        <v>61395200000</v>
      </c>
      <c r="BG17" s="4">
        <v>73458900000</v>
      </c>
      <c r="BH17" s="4">
        <v>12063700000</v>
      </c>
      <c r="BI17" s="5">
        <v>0.83599999999999997</v>
      </c>
      <c r="BJ17" s="4">
        <v>9115800000</v>
      </c>
      <c r="BK17" s="4">
        <f>-2600000+186300000</f>
        <v>183700000</v>
      </c>
      <c r="BL17" s="4"/>
      <c r="BM17" s="4"/>
      <c r="BN17" s="4"/>
      <c r="BO17" s="4"/>
      <c r="BP17" s="4"/>
      <c r="BQ17" s="4"/>
      <c r="BR17" s="4"/>
      <c r="BS17" s="4"/>
      <c r="BT17" s="4">
        <f>113000000+224300000</f>
        <v>337300000</v>
      </c>
      <c r="BU17" s="4"/>
      <c r="BV17" s="4"/>
      <c r="BW17" s="4"/>
      <c r="BX17" s="4"/>
      <c r="BY17" s="4"/>
      <c r="BZ17" s="4"/>
      <c r="CA17" s="4"/>
      <c r="CB17" s="4"/>
      <c r="CC17" s="4"/>
      <c r="CD17" s="4">
        <f>30.2*1000000</f>
        <v>30200000</v>
      </c>
      <c r="CE17" s="4"/>
      <c r="CF17" s="4"/>
      <c r="CG17" s="4">
        <f>279700000+668700000</f>
        <v>948400000</v>
      </c>
      <c r="CH17" s="31">
        <f>(16901.2-7890.4+1039.5-613.2)*1000000</f>
        <v>9437100000</v>
      </c>
      <c r="CI17" s="4"/>
      <c r="CJ17" s="4"/>
      <c r="CK17" s="4"/>
      <c r="CL17" s="4"/>
      <c r="CM17" s="4">
        <f>(188.7+70.7+8495)*1000000</f>
        <v>8754400000</v>
      </c>
      <c r="CN17" s="4">
        <f>47900000+592600000</f>
        <v>640500000</v>
      </c>
      <c r="CO17" s="4"/>
      <c r="CP17" s="4">
        <f>-271000000-1186300000</f>
        <v>-1457300000</v>
      </c>
    </row>
    <row r="18" spans="1:94" x14ac:dyDescent="0.35">
      <c r="A18" s="3" t="s">
        <v>319</v>
      </c>
      <c r="B18" s="3">
        <f t="shared" si="0"/>
        <v>2015</v>
      </c>
      <c r="C18" s="3">
        <v>2018</v>
      </c>
      <c r="D18" s="3" t="s">
        <v>445</v>
      </c>
      <c r="E18" s="5"/>
      <c r="F18" s="5" t="s">
        <v>584</v>
      </c>
      <c r="G18" s="5" t="s">
        <v>577</v>
      </c>
      <c r="H18" s="11"/>
      <c r="I18" s="5" t="s">
        <v>585</v>
      </c>
      <c r="J18" s="5" t="s">
        <v>585</v>
      </c>
      <c r="K18" s="5"/>
      <c r="L18" s="79">
        <f>1199.8*1000000</f>
        <v>1199800000</v>
      </c>
      <c r="M18" s="21">
        <f>(1.7+12.7)*1000000</f>
        <v>14399999.999999998</v>
      </c>
      <c r="O18" s="5"/>
      <c r="P18" s="5"/>
      <c r="Q18" s="5"/>
      <c r="R18" s="5" t="s">
        <v>586</v>
      </c>
      <c r="S18" s="5" t="s">
        <v>609</v>
      </c>
      <c r="T18" s="3" t="s">
        <v>433</v>
      </c>
      <c r="U18" s="5"/>
      <c r="V18" s="5"/>
      <c r="W18" s="3" t="s">
        <v>515</v>
      </c>
      <c r="X18" s="3" t="s">
        <v>434</v>
      </c>
      <c r="Z18" s="5" t="s">
        <v>521</v>
      </c>
      <c r="AA18" s="5"/>
      <c r="AB18" s="5" t="s">
        <v>522</v>
      </c>
      <c r="AC18" s="3" t="s">
        <v>321</v>
      </c>
      <c r="AD18" s="3" t="s">
        <v>321</v>
      </c>
      <c r="AF18" s="3" t="s">
        <v>434</v>
      </c>
      <c r="AG18" s="3" t="s">
        <v>321</v>
      </c>
      <c r="AH18" s="3" t="s">
        <v>434</v>
      </c>
      <c r="AI18" s="3" t="s">
        <v>321</v>
      </c>
      <c r="AJ18" s="5">
        <v>2.5000000000000001E-2</v>
      </c>
      <c r="AK18" s="5">
        <v>7.4999999999999997E-2</v>
      </c>
      <c r="AL18" s="5">
        <v>3.5000000000000003E-2</v>
      </c>
      <c r="AM18" s="3" t="s">
        <v>663</v>
      </c>
      <c r="AN18" s="3" t="s">
        <v>436</v>
      </c>
      <c r="AO18" s="3" t="s">
        <v>449</v>
      </c>
      <c r="AP18" s="3" t="s">
        <v>494</v>
      </c>
      <c r="AQ18" s="3">
        <v>2000</v>
      </c>
      <c r="AR18" s="3" t="s">
        <v>495</v>
      </c>
      <c r="AS18" s="3" t="s">
        <v>490</v>
      </c>
      <c r="AU18" s="3" t="s">
        <v>478</v>
      </c>
      <c r="AV18" s="3" t="s">
        <v>484</v>
      </c>
      <c r="AW18" s="3" t="s">
        <v>323</v>
      </c>
      <c r="AX18" s="5">
        <v>7.7499999999999999E-2</v>
      </c>
      <c r="AZ18" s="5">
        <v>7.4999999999999997E-2</v>
      </c>
      <c r="BB18" s="5"/>
      <c r="BC18" s="5"/>
      <c r="BD18" s="5">
        <f>((31.5+5.7)*1000000)/((52979+2389.1)*1000000)</f>
        <v>6.7186701367755077E-4</v>
      </c>
      <c r="BE18" s="3" t="s">
        <v>434</v>
      </c>
      <c r="BF18" s="4">
        <v>60000100000</v>
      </c>
      <c r="BG18" s="4">
        <v>76196600000</v>
      </c>
      <c r="BH18" s="4">
        <v>16196500000</v>
      </c>
      <c r="BI18" s="5">
        <v>0.78700000000000003</v>
      </c>
      <c r="BJ18" s="4">
        <v>9544100000</v>
      </c>
      <c r="BK18" s="4">
        <f>115300000+2510300000</f>
        <v>2625600000</v>
      </c>
      <c r="BL18" s="4"/>
      <c r="BM18" s="4"/>
      <c r="BN18" s="4"/>
      <c r="BO18" s="4"/>
      <c r="BP18" s="4"/>
      <c r="BQ18" s="4"/>
      <c r="BR18" s="4"/>
      <c r="BS18" s="4"/>
      <c r="BT18" s="4">
        <f>94500000+242600000</f>
        <v>337100000</v>
      </c>
      <c r="BU18" s="4"/>
      <c r="BV18" s="4"/>
      <c r="BW18" s="4"/>
      <c r="BX18" s="4"/>
      <c r="BY18" s="4"/>
      <c r="BZ18" s="4"/>
      <c r="CA18" s="4"/>
      <c r="CB18" s="4"/>
      <c r="CC18" s="4"/>
      <c r="CD18" s="4">
        <f>(31.6+7.6)*1000000</f>
        <v>39200000</v>
      </c>
      <c r="CE18" s="4"/>
      <c r="CF18" s="4"/>
      <c r="CG18" s="4">
        <f>361100000+727200000</f>
        <v>1088300000</v>
      </c>
      <c r="CH18" s="31">
        <f>(20477.4-16901.2+1353.5-1039.5)*1000000</f>
        <v>3890200000.000001</v>
      </c>
      <c r="CI18" s="4"/>
      <c r="CJ18" s="4"/>
      <c r="CK18" s="4"/>
      <c r="CL18" s="4"/>
      <c r="CM18" s="4">
        <v>0</v>
      </c>
      <c r="CN18" s="4">
        <f>78900000+1251300000</f>
        <v>1330200000</v>
      </c>
      <c r="CO18" s="4"/>
      <c r="CP18" s="4">
        <f>-335700000-1194400000</f>
        <v>-1530100000</v>
      </c>
    </row>
    <row r="19" spans="1:94" x14ac:dyDescent="0.35">
      <c r="A19" s="3" t="s">
        <v>319</v>
      </c>
      <c r="B19" s="3">
        <f t="shared" si="0"/>
        <v>2016</v>
      </c>
      <c r="D19" s="3" t="s">
        <v>445</v>
      </c>
      <c r="E19" s="5"/>
      <c r="F19" s="5" t="s">
        <v>588</v>
      </c>
      <c r="G19" s="5" t="s">
        <v>587</v>
      </c>
      <c r="H19" s="11"/>
      <c r="I19" s="5" t="s">
        <v>589</v>
      </c>
      <c r="J19" s="5" t="s">
        <v>589</v>
      </c>
      <c r="K19" s="5"/>
      <c r="L19" s="79">
        <f>1049.3*1000000</f>
        <v>1049300000</v>
      </c>
      <c r="M19" s="21">
        <f>(1.7+11.4)*1000000</f>
        <v>13100000</v>
      </c>
      <c r="O19" s="5"/>
      <c r="P19" s="5"/>
      <c r="Q19" s="5"/>
      <c r="R19" s="5" t="s">
        <v>590</v>
      </c>
      <c r="S19" s="5" t="s">
        <v>609</v>
      </c>
      <c r="T19" s="3" t="s">
        <v>433</v>
      </c>
      <c r="U19" s="5"/>
      <c r="V19" s="5"/>
      <c r="W19" s="3" t="s">
        <v>515</v>
      </c>
      <c r="X19" s="3" t="s">
        <v>434</v>
      </c>
      <c r="Z19" s="5" t="s">
        <v>521</v>
      </c>
      <c r="AA19" s="5"/>
      <c r="AB19" s="5" t="s">
        <v>522</v>
      </c>
      <c r="AC19" s="3" t="s">
        <v>321</v>
      </c>
      <c r="AD19" s="3" t="s">
        <v>321</v>
      </c>
      <c r="AF19" s="3" t="s">
        <v>434</v>
      </c>
      <c r="AG19" s="3" t="s">
        <v>321</v>
      </c>
      <c r="AH19" s="3" t="s">
        <v>434</v>
      </c>
      <c r="AI19" s="3" t="s">
        <v>321</v>
      </c>
      <c r="AJ19" s="5">
        <v>2.5000000000000001E-2</v>
      </c>
      <c r="AK19" s="5">
        <v>7.1999999999999995E-2</v>
      </c>
      <c r="AL19" s="5">
        <v>3.5000000000000003E-2</v>
      </c>
      <c r="AM19" s="3" t="s">
        <v>662</v>
      </c>
      <c r="AN19" s="3" t="s">
        <v>443</v>
      </c>
      <c r="AO19" s="3" t="s">
        <v>504</v>
      </c>
      <c r="AP19" s="3" t="s">
        <v>493</v>
      </c>
      <c r="AQ19" s="3">
        <v>2014</v>
      </c>
      <c r="AR19" s="3" t="s">
        <v>453</v>
      </c>
      <c r="AS19" s="3" t="s">
        <v>491</v>
      </c>
      <c r="AU19" s="3" t="s">
        <v>478</v>
      </c>
      <c r="AV19" s="3" t="s">
        <v>484</v>
      </c>
      <c r="AW19" s="3" t="s">
        <v>323</v>
      </c>
      <c r="AX19" s="5">
        <v>7.4999999999999997E-2</v>
      </c>
      <c r="AZ19" s="5">
        <v>7.1999999999999995E-2</v>
      </c>
      <c r="BB19" s="5"/>
      <c r="BC19" s="5"/>
      <c r="BD19" s="5">
        <f>((35.8+5.9)*1000000)/((53573.4+3021.4)*1000000)</f>
        <v>7.3681681002494919E-4</v>
      </c>
      <c r="BE19" s="3" t="s">
        <v>434</v>
      </c>
      <c r="BF19" s="4">
        <v>61059000000</v>
      </c>
      <c r="BG19" s="4">
        <v>80970300000</v>
      </c>
      <c r="BH19" s="4">
        <v>19911200000</v>
      </c>
      <c r="BI19" s="5">
        <v>0.754</v>
      </c>
      <c r="BJ19" s="4">
        <v>9872600000</v>
      </c>
      <c r="BK19" s="4">
        <f>-9500000+46800000</f>
        <v>37300000</v>
      </c>
      <c r="BL19" s="4"/>
      <c r="BM19" s="4"/>
      <c r="BN19" s="4"/>
      <c r="BO19" s="4"/>
      <c r="BP19" s="4"/>
      <c r="BQ19" s="4"/>
      <c r="BR19" s="4"/>
      <c r="BS19" s="4"/>
      <c r="BT19" s="4">
        <f>116200000-31300000</f>
        <v>84900000</v>
      </c>
      <c r="BU19" s="4"/>
      <c r="BV19" s="4"/>
      <c r="BW19" s="4"/>
      <c r="BX19" s="4"/>
      <c r="BY19" s="4"/>
      <c r="BZ19" s="4"/>
      <c r="CA19" s="4"/>
      <c r="CB19" s="4"/>
      <c r="CC19" s="4"/>
      <c r="CD19" s="4">
        <f>36.2*1000000</f>
        <v>36200000</v>
      </c>
      <c r="CE19" s="4"/>
      <c r="CF19" s="4"/>
      <c r="CG19" s="4">
        <f>412500000+680200000</f>
        <v>1092700000</v>
      </c>
      <c r="CH19" s="31">
        <f>(23604.4-20477.4+1695.6-1353.5)*1000000</f>
        <v>3469100000.0000005</v>
      </c>
      <c r="CI19" s="4"/>
      <c r="CJ19" s="4"/>
      <c r="CK19" s="4"/>
      <c r="CL19" s="4"/>
      <c r="CM19" s="4">
        <f>173700000+2096400000</f>
        <v>2270100000</v>
      </c>
      <c r="CN19" s="4">
        <f>100100000+1517000000</f>
        <v>1617100000</v>
      </c>
      <c r="CO19" s="4"/>
      <c r="CP19" s="4">
        <f>-450900000-1218100000</f>
        <v>-1669000000</v>
      </c>
    </row>
    <row r="20" spans="1:94" x14ac:dyDescent="0.35">
      <c r="A20" s="3" t="s">
        <v>319</v>
      </c>
      <c r="B20" s="3">
        <f t="shared" si="0"/>
        <v>2017</v>
      </c>
      <c r="C20" s="3">
        <v>2020</v>
      </c>
      <c r="D20" s="3" t="s">
        <v>445</v>
      </c>
      <c r="E20" s="5"/>
      <c r="F20" s="5" t="s">
        <v>591</v>
      </c>
      <c r="G20" s="5" t="s">
        <v>587</v>
      </c>
      <c r="H20" s="11"/>
      <c r="I20" s="5" t="s">
        <v>592</v>
      </c>
      <c r="J20" s="5" t="s">
        <v>592</v>
      </c>
      <c r="K20" s="5"/>
      <c r="L20" s="79">
        <f>1255.9*1000000</f>
        <v>1255900000</v>
      </c>
      <c r="M20" s="21">
        <f>(1.8+12.9)*1000000</f>
        <v>14700000.000000002</v>
      </c>
      <c r="O20" s="5"/>
      <c r="P20" s="5"/>
      <c r="Q20" s="5"/>
      <c r="R20" s="5" t="s">
        <v>593</v>
      </c>
      <c r="S20" s="5" t="s">
        <v>609</v>
      </c>
      <c r="T20" s="3" t="s">
        <v>433</v>
      </c>
      <c r="U20" s="5"/>
      <c r="V20" s="5"/>
      <c r="W20" s="3" t="s">
        <v>515</v>
      </c>
      <c r="X20" s="3" t="s">
        <v>434</v>
      </c>
      <c r="Z20" s="5" t="s">
        <v>521</v>
      </c>
      <c r="AA20" s="5"/>
      <c r="AB20" s="5" t="s">
        <v>522</v>
      </c>
      <c r="AC20" s="3" t="s">
        <v>321</v>
      </c>
      <c r="AD20" s="3" t="s">
        <v>321</v>
      </c>
      <c r="AF20" s="3" t="s">
        <v>434</v>
      </c>
      <c r="AG20" s="3" t="s">
        <v>321</v>
      </c>
      <c r="AH20" s="3" t="s">
        <v>434</v>
      </c>
      <c r="AI20" s="3" t="s">
        <v>321</v>
      </c>
      <c r="AJ20" s="5">
        <v>2.5000000000000001E-2</v>
      </c>
      <c r="AK20" s="5">
        <v>7.1999999999999995E-2</v>
      </c>
      <c r="AL20" s="5">
        <v>3.5000000000000003E-2</v>
      </c>
      <c r="AM20" s="3" t="s">
        <v>662</v>
      </c>
      <c r="AN20" s="3" t="s">
        <v>451</v>
      </c>
      <c r="AO20" s="3" t="s">
        <v>505</v>
      </c>
      <c r="AP20" s="3" t="s">
        <v>493</v>
      </c>
      <c r="AQ20" s="3">
        <v>2014</v>
      </c>
      <c r="AR20" s="3" t="s">
        <v>453</v>
      </c>
      <c r="AS20" s="3" t="s">
        <v>491</v>
      </c>
      <c r="AU20" s="3" t="s">
        <v>478</v>
      </c>
      <c r="AV20" s="3" t="s">
        <v>484</v>
      </c>
      <c r="AW20" s="3" t="s">
        <v>323</v>
      </c>
      <c r="AX20" s="5">
        <v>7.4999999999999997E-2</v>
      </c>
      <c r="AZ20" s="5">
        <v>7.1999999999999995E-2</v>
      </c>
      <c r="BB20" s="5"/>
      <c r="BC20" s="5"/>
      <c r="BD20" s="5">
        <f>((35.1+5.9)*1000000)/((58495.1+4116.5)*1000000)</f>
        <v>6.5483073424093933E-4</v>
      </c>
      <c r="BE20" s="3" t="s">
        <v>434</v>
      </c>
      <c r="BF20" s="4">
        <v>67326100000.000008</v>
      </c>
      <c r="BG20" s="4">
        <v>84056100000</v>
      </c>
      <c r="BH20" s="4">
        <v>16730000000</v>
      </c>
      <c r="BI20" s="5">
        <v>0.80100000000000005</v>
      </c>
      <c r="BJ20" s="4">
        <v>10098900000</v>
      </c>
      <c r="BK20" s="4">
        <f>-317600000-4496600000</f>
        <v>-4814200000</v>
      </c>
      <c r="BL20" s="4"/>
      <c r="BM20" s="4"/>
      <c r="BN20" s="4"/>
      <c r="BO20" s="4"/>
      <c r="BP20" s="4"/>
      <c r="BQ20" s="4"/>
      <c r="BR20" s="4"/>
      <c r="BS20" s="4"/>
      <c r="BT20" s="4">
        <f>109400000+640900000</f>
        <v>750300000</v>
      </c>
      <c r="BU20" s="4"/>
      <c r="BV20" s="4"/>
      <c r="BW20" s="4"/>
      <c r="BX20" s="4"/>
      <c r="BY20" s="4"/>
      <c r="BZ20" s="4"/>
      <c r="CA20" s="4"/>
      <c r="CB20" s="4"/>
      <c r="CC20" s="4"/>
      <c r="CD20" s="4">
        <f>(35.2-32.9)*1000000</f>
        <v>2300000.0000000042</v>
      </c>
      <c r="CE20" s="4"/>
      <c r="CF20" s="4"/>
      <c r="CG20" s="4">
        <f>482900000+659900000</f>
        <v>1142800000</v>
      </c>
      <c r="CH20" s="31">
        <f>(20773-23604.4+1518.2-1695.6)*1000000</f>
        <v>-3008800000.000001</v>
      </c>
      <c r="CI20" s="4"/>
      <c r="CJ20" s="4"/>
      <c r="CK20" s="4"/>
      <c r="CL20" s="4"/>
      <c r="CM20" s="4">
        <v>0</v>
      </c>
      <c r="CN20" s="4">
        <f>118900000+1677200000</f>
        <v>1796100000</v>
      </c>
      <c r="CO20" s="4"/>
      <c r="CP20" s="4">
        <f>-571100000-1315200000</f>
        <v>-1886300000</v>
      </c>
    </row>
    <row r="21" spans="1:94" x14ac:dyDescent="0.35">
      <c r="A21" s="3" t="s">
        <v>319</v>
      </c>
      <c r="B21" s="3">
        <f t="shared" si="0"/>
        <v>2018</v>
      </c>
      <c r="D21" s="3" t="s">
        <v>445</v>
      </c>
      <c r="E21" s="5"/>
      <c r="F21" s="5" t="s">
        <v>594</v>
      </c>
      <c r="G21" s="5" t="s">
        <v>587</v>
      </c>
      <c r="H21" s="11"/>
      <c r="I21" s="5" t="s">
        <v>595</v>
      </c>
      <c r="J21" s="5" t="s">
        <v>595</v>
      </c>
      <c r="K21" s="5"/>
      <c r="L21" s="79">
        <f>1818.9*1000000</f>
        <v>1818900000</v>
      </c>
      <c r="M21" s="21">
        <f>(1.9+8.6)*1000000</f>
        <v>10500000</v>
      </c>
      <c r="O21" s="5"/>
      <c r="P21" s="5"/>
      <c r="Q21" s="5"/>
      <c r="R21" s="5" t="s">
        <v>596</v>
      </c>
      <c r="S21" s="5" t="s">
        <v>609</v>
      </c>
      <c r="T21" s="3" t="s">
        <v>433</v>
      </c>
      <c r="U21" s="5"/>
      <c r="V21" s="5"/>
      <c r="W21" s="3" t="s">
        <v>515</v>
      </c>
      <c r="X21" s="3" t="s">
        <v>434</v>
      </c>
      <c r="Z21" s="5" t="s">
        <v>521</v>
      </c>
      <c r="AA21" s="5"/>
      <c r="AB21" s="5" t="s">
        <v>522</v>
      </c>
      <c r="AC21" s="3" t="s">
        <v>321</v>
      </c>
      <c r="AD21" s="3" t="s">
        <v>321</v>
      </c>
      <c r="AF21" s="3" t="s">
        <v>434</v>
      </c>
      <c r="AG21" s="3" t="s">
        <v>321</v>
      </c>
      <c r="AH21" s="3" t="s">
        <v>434</v>
      </c>
      <c r="AI21" s="3" t="s">
        <v>321</v>
      </c>
      <c r="AJ21" s="5">
        <v>2.5000000000000001E-2</v>
      </c>
      <c r="AK21" s="5">
        <v>7.1999999999999995E-2</v>
      </c>
      <c r="AL21" s="5">
        <v>3.5000000000000003E-2</v>
      </c>
      <c r="AM21" s="3" t="s">
        <v>661</v>
      </c>
      <c r="AN21" s="3" t="s">
        <v>455</v>
      </c>
      <c r="AO21" s="3" t="s">
        <v>454</v>
      </c>
      <c r="AP21" s="3" t="s">
        <v>452</v>
      </c>
      <c r="AQ21" s="3">
        <v>2010</v>
      </c>
      <c r="AR21" s="3" t="s">
        <v>453</v>
      </c>
      <c r="AS21" s="3" t="s">
        <v>492</v>
      </c>
      <c r="AU21" s="3" t="s">
        <v>478</v>
      </c>
      <c r="AV21" s="3" t="s">
        <v>484</v>
      </c>
      <c r="AW21" s="3" t="s">
        <v>323</v>
      </c>
      <c r="AX21" s="5">
        <v>7.1999999999999995E-2</v>
      </c>
      <c r="AZ21" s="5">
        <v>7.1999999999999995E-2</v>
      </c>
      <c r="BB21" s="5"/>
      <c r="BC21" s="5"/>
      <c r="BD21" s="5">
        <f>((29.1+7.6)*1000000)/((55628.1+4783)*1000000)</f>
        <v>6.0750425004676295E-4</v>
      </c>
      <c r="BE21" s="3" t="s">
        <v>434</v>
      </c>
      <c r="BF21" s="4">
        <v>64802300000</v>
      </c>
      <c r="BG21" s="4">
        <v>86574700000</v>
      </c>
      <c r="BH21" s="4">
        <v>21772400000</v>
      </c>
      <c r="BI21" s="5">
        <v>0.749</v>
      </c>
      <c r="BJ21" s="4">
        <v>10852000000</v>
      </c>
      <c r="BK21" s="4">
        <f>300200000+3641300000</f>
        <v>3941500000</v>
      </c>
      <c r="BL21" s="4"/>
      <c r="BM21" s="4"/>
      <c r="BN21" s="4"/>
      <c r="BO21" s="4"/>
      <c r="BP21" s="4"/>
      <c r="BQ21" s="4"/>
      <c r="BR21" s="4"/>
      <c r="BS21" s="4"/>
      <c r="BT21" s="4">
        <f>195400000+124400000</f>
        <v>319800000</v>
      </c>
      <c r="BU21" s="4"/>
      <c r="BV21" s="4"/>
      <c r="BW21" s="4"/>
      <c r="BX21" s="4"/>
      <c r="BY21" s="4"/>
      <c r="BZ21" s="4"/>
      <c r="CA21" s="4"/>
      <c r="CB21" s="4"/>
      <c r="CC21" s="4"/>
      <c r="CD21" s="4">
        <f>29.2*1000000</f>
        <v>29200000</v>
      </c>
      <c r="CE21" s="4"/>
      <c r="CF21" s="4"/>
      <c r="CG21" s="4">
        <f>523300000+611200000</f>
        <v>1134500000</v>
      </c>
      <c r="CH21" s="31">
        <f>(25026.7-20773+1955-1518.2)*1000000</f>
        <v>4690500000.000001</v>
      </c>
      <c r="CI21" s="4"/>
      <c r="CJ21" s="4"/>
      <c r="CK21" s="4"/>
      <c r="CL21" s="4"/>
      <c r="CM21" s="4">
        <f>(13.7-11.1-101)*1000000</f>
        <v>-98400000</v>
      </c>
      <c r="CN21" s="4">
        <f>103400000+1464200000</f>
        <v>1567600000</v>
      </c>
      <c r="CO21" s="4"/>
      <c r="CP21" s="4">
        <f>-688200000-1515500000</f>
        <v>-2203700000</v>
      </c>
    </row>
    <row r="22" spans="1:94" x14ac:dyDescent="0.35">
      <c r="A22" s="3" t="s">
        <v>319</v>
      </c>
      <c r="B22" s="3">
        <v>2019</v>
      </c>
      <c r="C22" s="3">
        <v>2022</v>
      </c>
      <c r="D22" s="3" t="s">
        <v>445</v>
      </c>
      <c r="E22" s="5"/>
      <c r="F22" s="5" t="s">
        <v>599</v>
      </c>
      <c r="G22" s="5" t="s">
        <v>598</v>
      </c>
      <c r="H22" s="11"/>
      <c r="I22" s="5" t="s">
        <v>600</v>
      </c>
      <c r="J22" s="5" t="s">
        <v>600</v>
      </c>
      <c r="K22" s="5"/>
      <c r="L22" s="79">
        <f>2073.5*1000000</f>
        <v>2073500000</v>
      </c>
      <c r="M22" s="21">
        <f>(1.9+9.5)*1000000</f>
        <v>11400000</v>
      </c>
      <c r="O22" s="5"/>
      <c r="P22" s="5"/>
      <c r="Q22" s="5"/>
      <c r="R22" s="5" t="s">
        <v>601</v>
      </c>
      <c r="S22" s="5" t="s">
        <v>609</v>
      </c>
      <c r="T22" s="3" t="s">
        <v>433</v>
      </c>
      <c r="U22" s="5"/>
      <c r="V22" s="5"/>
      <c r="W22" s="3" t="s">
        <v>515</v>
      </c>
      <c r="X22" s="3" t="s">
        <v>434</v>
      </c>
      <c r="Z22" s="5" t="s">
        <v>521</v>
      </c>
      <c r="AA22" s="5"/>
      <c r="AB22" s="5" t="s">
        <v>522</v>
      </c>
      <c r="AC22" s="3" t="s">
        <v>321</v>
      </c>
      <c r="AD22" s="3" t="s">
        <v>321</v>
      </c>
      <c r="AF22" s="3" t="s">
        <v>434</v>
      </c>
      <c r="AG22" s="3" t="s">
        <v>321</v>
      </c>
      <c r="AH22" s="3" t="s">
        <v>434</v>
      </c>
      <c r="AI22" s="3" t="s">
        <v>321</v>
      </c>
      <c r="AJ22" s="5">
        <v>2.5000000000000001E-2</v>
      </c>
      <c r="AK22" s="5">
        <v>7.1999999999999995E-2</v>
      </c>
      <c r="AL22" s="5">
        <v>3.5000000000000003E-2</v>
      </c>
      <c r="AM22" s="3" t="s">
        <v>660</v>
      </c>
      <c r="AN22" s="3" t="s">
        <v>457</v>
      </c>
      <c r="AO22" s="3" t="s">
        <v>456</v>
      </c>
      <c r="AP22" s="3" t="s">
        <v>452</v>
      </c>
      <c r="AQ22" s="3">
        <v>2010</v>
      </c>
      <c r="AR22" s="3" t="s">
        <v>453</v>
      </c>
      <c r="AS22" s="3" t="s">
        <v>492</v>
      </c>
      <c r="AU22" s="3" t="s">
        <v>478</v>
      </c>
      <c r="AV22" s="3" t="s">
        <v>484</v>
      </c>
      <c r="AW22" s="3" t="s">
        <v>323</v>
      </c>
      <c r="AX22" s="5">
        <v>7.1999999999999995E-2</v>
      </c>
      <c r="AZ22" s="5">
        <v>7.1999999999999995E-2</v>
      </c>
      <c r="BB22" s="5"/>
      <c r="BC22" s="5"/>
      <c r="BD22" s="5">
        <f>((36.1+8.4)*1000000)/((59400.2+6190.4)*1000000)</f>
        <v>6.7845087558278177E-4</v>
      </c>
      <c r="BE22" s="3" t="s">
        <v>434</v>
      </c>
      <c r="BF22" s="4">
        <v>70312300000</v>
      </c>
      <c r="BG22" s="4">
        <v>89445700000</v>
      </c>
      <c r="BH22" s="4">
        <v>19133500000</v>
      </c>
      <c r="BI22" s="5">
        <v>0.78600000000000003</v>
      </c>
      <c r="BJ22" s="4">
        <v>11533700000</v>
      </c>
      <c r="BK22" s="4">
        <f>-301800000-3207600000</f>
        <v>-3509400000</v>
      </c>
      <c r="BL22" s="4"/>
      <c r="BM22" s="4"/>
      <c r="BN22" s="4"/>
      <c r="BO22" s="4"/>
      <c r="BP22" s="4"/>
      <c r="BQ22" s="4"/>
      <c r="BR22" s="4"/>
      <c r="BS22" s="4"/>
      <c r="BT22" s="4">
        <f>264300000+222900000</f>
        <v>487200000</v>
      </c>
      <c r="BU22" s="4"/>
      <c r="BV22" s="4"/>
      <c r="BW22" s="4"/>
      <c r="BX22" s="4"/>
      <c r="BY22" s="4"/>
      <c r="BZ22" s="4"/>
      <c r="CA22" s="4"/>
      <c r="CB22" s="4"/>
      <c r="CC22" s="4"/>
      <c r="CD22" s="4">
        <f>(36.3-1.7)*1000000</f>
        <v>34599999.999999993</v>
      </c>
      <c r="CE22" s="4"/>
      <c r="CF22" s="4"/>
      <c r="CG22" s="4">
        <f>625200000+586800000</f>
        <v>1212000000</v>
      </c>
      <c r="CH22" s="31">
        <f>(22711.7-25026.7+1891.8-1955)*1000000</f>
        <v>-2378200000</v>
      </c>
      <c r="CI22" s="4"/>
      <c r="CJ22" s="4"/>
      <c r="CK22" s="4"/>
      <c r="CL22" s="4"/>
      <c r="CM22" s="4">
        <v>0</v>
      </c>
      <c r="CN22" s="4">
        <f>135000000+1762600000</f>
        <v>1897600000</v>
      </c>
      <c r="CO22" s="4"/>
      <c r="CP22" s="4">
        <f>-785700000-1714400000</f>
        <v>-2500100000</v>
      </c>
    </row>
    <row r="23" spans="1:94" x14ac:dyDescent="0.35">
      <c r="A23" s="3" t="s">
        <v>319</v>
      </c>
      <c r="B23" s="3">
        <v>2020</v>
      </c>
      <c r="D23" s="3" t="s">
        <v>445</v>
      </c>
      <c r="E23" s="5"/>
      <c r="F23" s="5" t="s">
        <v>652</v>
      </c>
      <c r="G23" s="5" t="s">
        <v>598</v>
      </c>
      <c r="H23" s="11"/>
      <c r="I23" s="5" t="s">
        <v>644</v>
      </c>
      <c r="J23" s="5" t="s">
        <v>644</v>
      </c>
      <c r="K23" s="5"/>
      <c r="L23" s="79">
        <f>2180.4*1000000</f>
        <v>2180400000</v>
      </c>
      <c r="M23" s="21">
        <f>(2+7.6)*1000000</f>
        <v>9600000</v>
      </c>
      <c r="O23" s="5"/>
      <c r="P23" s="5"/>
      <c r="Q23" s="5"/>
      <c r="R23" s="5" t="s">
        <v>671</v>
      </c>
      <c r="S23" s="5" t="s">
        <v>672</v>
      </c>
      <c r="T23" s="3" t="s">
        <v>433</v>
      </c>
      <c r="U23" s="5"/>
      <c r="V23" s="5"/>
      <c r="W23" s="3" t="s">
        <v>515</v>
      </c>
      <c r="X23" s="3" t="s">
        <v>434</v>
      </c>
      <c r="Z23" s="5" t="s">
        <v>521</v>
      </c>
      <c r="AA23" s="5"/>
      <c r="AB23" s="5" t="s">
        <v>522</v>
      </c>
      <c r="AC23" s="3" t="s">
        <v>321</v>
      </c>
      <c r="AD23" s="3" t="s">
        <v>321</v>
      </c>
      <c r="AF23" s="3" t="s">
        <v>434</v>
      </c>
      <c r="AG23" s="3" t="s">
        <v>321</v>
      </c>
      <c r="AH23" s="3" t="s">
        <v>434</v>
      </c>
      <c r="AI23" s="3" t="s">
        <v>321</v>
      </c>
      <c r="AJ23" s="5">
        <v>2.4E-2</v>
      </c>
      <c r="AK23" s="5">
        <v>6.9000000000000006E-2</v>
      </c>
      <c r="AL23" s="5">
        <v>3.4000000000000002E-2</v>
      </c>
      <c r="AM23" s="3" t="s">
        <v>670</v>
      </c>
      <c r="AN23" s="3" t="s">
        <v>642</v>
      </c>
      <c r="AO23" s="3" t="s">
        <v>643</v>
      </c>
      <c r="AP23" s="3" t="s">
        <v>452</v>
      </c>
      <c r="AQ23" s="3">
        <v>2010</v>
      </c>
      <c r="AR23" s="3" t="s">
        <v>453</v>
      </c>
      <c r="AS23" s="3" t="s">
        <v>492</v>
      </c>
      <c r="AU23" s="3" t="s">
        <v>478</v>
      </c>
      <c r="AV23" s="3" t="s">
        <v>484</v>
      </c>
      <c r="AW23" s="3" t="s">
        <v>323</v>
      </c>
      <c r="AX23" s="5">
        <v>6.9000000000000006E-2</v>
      </c>
      <c r="AZ23" s="5">
        <v>6.9000000000000006E-2</v>
      </c>
      <c r="BB23" s="5"/>
      <c r="BC23" s="5"/>
      <c r="BD23" s="5">
        <f>56500000/67933000000</f>
        <v>8.31701823855858E-4</v>
      </c>
      <c r="BE23" s="3" t="s">
        <v>434</v>
      </c>
      <c r="BF23" s="4">
        <v>72378300000</v>
      </c>
      <c r="BG23" s="4">
        <v>95300400000</v>
      </c>
      <c r="BH23" s="4">
        <v>22922100000</v>
      </c>
      <c r="BI23" s="5">
        <v>0.75900000000000001</v>
      </c>
      <c r="BJ23" s="4">
        <v>12042700000</v>
      </c>
      <c r="BK23" s="4">
        <f>(41.8-42)*1000000</f>
        <v>-200000.00000000285</v>
      </c>
      <c r="BL23" s="4"/>
      <c r="BM23" s="4"/>
      <c r="BN23" s="4"/>
      <c r="BO23" s="4"/>
      <c r="BP23" s="4"/>
      <c r="BQ23" s="4"/>
      <c r="BR23" s="4"/>
      <c r="BS23" s="4"/>
      <c r="BT23" s="4">
        <f>(-65.2+73.4)*1000000</f>
        <v>8200000.0000000028</v>
      </c>
      <c r="BU23" s="4"/>
      <c r="BV23" s="4"/>
      <c r="BW23" s="4"/>
      <c r="BX23" s="4"/>
      <c r="BY23" s="4"/>
      <c r="BZ23" s="4"/>
      <c r="CA23" s="4"/>
      <c r="CB23" s="4"/>
      <c r="CC23" s="4"/>
      <c r="CD23" s="4">
        <v>545600000</v>
      </c>
      <c r="CE23" s="4"/>
      <c r="CF23" s="4"/>
      <c r="CG23" s="4">
        <f>(545.6+701.8)*1000000</f>
        <v>1247400000</v>
      </c>
      <c r="CH23" s="31">
        <f>(25584.5-22711.7+2459.3-1891.8)*1000000</f>
        <v>3440299999.999999</v>
      </c>
      <c r="CI23" s="4"/>
      <c r="CJ23" s="4"/>
      <c r="CK23" s="4"/>
      <c r="CL23" s="4"/>
      <c r="CM23" s="4">
        <f>(2855.9+542.7+65)*1000000</f>
        <v>3463600000.0000005</v>
      </c>
      <c r="CN23" s="4">
        <f>(1579.8+129)*1000000</f>
        <v>1708800000</v>
      </c>
      <c r="CO23" s="4"/>
      <c r="CP23" s="4">
        <f>(-2132.9-902.4)*1000000</f>
        <v>-3035300000</v>
      </c>
    </row>
    <row r="24" spans="1:94" x14ac:dyDescent="0.35">
      <c r="A24" s="3" t="s">
        <v>319</v>
      </c>
      <c r="B24" s="3">
        <v>2021</v>
      </c>
      <c r="C24" s="3">
        <v>2023</v>
      </c>
      <c r="D24" s="3" t="s">
        <v>445</v>
      </c>
      <c r="F24" s="5" t="s">
        <v>854</v>
      </c>
      <c r="G24" s="5" t="s">
        <v>855</v>
      </c>
      <c r="I24" s="5" t="s">
        <v>856</v>
      </c>
      <c r="J24" s="5" t="s">
        <v>856</v>
      </c>
      <c r="L24" s="79">
        <f>2145.3*1000000</f>
        <v>2145300000.0000002</v>
      </c>
      <c r="M24" s="21">
        <f>(8.1+2.1)*1000000</f>
        <v>10200000</v>
      </c>
      <c r="R24" s="5" t="s">
        <v>857</v>
      </c>
      <c r="S24" s="5" t="s">
        <v>672</v>
      </c>
      <c r="T24" s="3" t="s">
        <v>433</v>
      </c>
      <c r="W24" s="3" t="s">
        <v>515</v>
      </c>
      <c r="X24" s="3" t="s">
        <v>434</v>
      </c>
      <c r="Z24" s="5" t="s">
        <v>521</v>
      </c>
      <c r="AB24" s="5" t="s">
        <v>522</v>
      </c>
      <c r="AC24" s="3" t="s">
        <v>321</v>
      </c>
      <c r="AD24" s="3" t="s">
        <v>321</v>
      </c>
      <c r="AF24" s="3" t="s">
        <v>434</v>
      </c>
      <c r="AG24" s="3" t="s">
        <v>321</v>
      </c>
      <c r="AH24" s="3" t="s">
        <v>434</v>
      </c>
      <c r="AI24" s="3" t="s">
        <v>321</v>
      </c>
      <c r="AJ24" s="5">
        <v>2.4E-2</v>
      </c>
      <c r="AK24" s="5">
        <v>6.9000000000000006E-2</v>
      </c>
      <c r="AL24" s="5">
        <v>3.4000000000000002E-2</v>
      </c>
      <c r="AM24" s="3" t="s">
        <v>670</v>
      </c>
      <c r="AN24" s="3" t="s">
        <v>642</v>
      </c>
      <c r="AO24" s="3" t="s">
        <v>643</v>
      </c>
      <c r="AP24" s="3" t="s">
        <v>452</v>
      </c>
      <c r="AQ24" s="3">
        <v>2010</v>
      </c>
      <c r="AR24" s="3" t="s">
        <v>453</v>
      </c>
      <c r="AS24" s="3" t="s">
        <v>492</v>
      </c>
      <c r="AU24" s="3" t="s">
        <v>478</v>
      </c>
      <c r="AV24" s="3" t="s">
        <v>484</v>
      </c>
      <c r="AW24" s="3" t="s">
        <v>323</v>
      </c>
      <c r="AX24" s="5">
        <v>6.9000000000000006E-2</v>
      </c>
      <c r="AZ24" s="5">
        <v>6.9000000000000006E-2</v>
      </c>
      <c r="BD24" s="5">
        <f>((50.2+9.7)*1000000)/((68705.4+10251.2)*1000000)</f>
        <v>7.5864462248881055E-4</v>
      </c>
      <c r="BE24" s="3" t="s">
        <v>434</v>
      </c>
      <c r="BF24" s="4">
        <v>85001300000</v>
      </c>
      <c r="BG24" s="4">
        <v>98401400000</v>
      </c>
      <c r="BH24" s="4">
        <v>13400100000</v>
      </c>
      <c r="BI24" s="5">
        <v>0.86399999999999999</v>
      </c>
      <c r="BJ24" s="4">
        <v>12684100000</v>
      </c>
      <c r="BK24" s="4">
        <f>-7445100000-1197500000</f>
        <v>-8642600000</v>
      </c>
      <c r="BT24" s="4">
        <f>283200000+306300000</f>
        <v>589500000</v>
      </c>
      <c r="CD24" s="4">
        <v>50400000</v>
      </c>
      <c r="CG24" s="4">
        <f>585200000+852200000</f>
        <v>1437400000</v>
      </c>
      <c r="CH24" s="31">
        <f>(18483.2-25584.5+1555-2459.3)*1000000</f>
        <v>-8005599999.999999</v>
      </c>
      <c r="CM24" s="4">
        <v>0</v>
      </c>
      <c r="CN24" s="4">
        <f>163600000+1708500000</f>
        <v>1872100000</v>
      </c>
      <c r="CP24" s="4">
        <f>-2283500000-1028900000</f>
        <v>-3312400000</v>
      </c>
    </row>
    <row r="25" spans="1:94" x14ac:dyDescent="0.35">
      <c r="A25" s="3" t="s">
        <v>319</v>
      </c>
      <c r="B25" s="3">
        <v>2022</v>
      </c>
      <c r="C25" s="3">
        <v>2025</v>
      </c>
      <c r="D25" s="3" t="s">
        <v>445</v>
      </c>
      <c r="F25" s="5" t="s">
        <v>1083</v>
      </c>
      <c r="G25" s="5" t="s">
        <v>855</v>
      </c>
      <c r="I25" s="5" t="s">
        <v>1084</v>
      </c>
      <c r="J25" s="5" t="s">
        <v>1084</v>
      </c>
      <c r="L25" s="79">
        <f>2203.9*1000000</f>
        <v>2203900000</v>
      </c>
      <c r="M25" s="21">
        <f>(2.2+6.2)*1000000</f>
        <v>8400000</v>
      </c>
      <c r="R25" s="5" t="s">
        <v>1103</v>
      </c>
      <c r="S25" s="5" t="s">
        <v>672</v>
      </c>
      <c r="T25" s="3" t="s">
        <v>433</v>
      </c>
      <c r="W25" s="3" t="s">
        <v>515</v>
      </c>
      <c r="X25" s="3" t="s">
        <v>434</v>
      </c>
      <c r="Z25" s="5" t="s">
        <v>521</v>
      </c>
      <c r="AB25" s="5" t="s">
        <v>522</v>
      </c>
      <c r="AC25" s="3" t="s">
        <v>321</v>
      </c>
      <c r="AD25" s="3" t="s">
        <v>321</v>
      </c>
      <c r="AF25" s="3" t="s">
        <v>434</v>
      </c>
      <c r="AG25" s="3" t="s">
        <v>321</v>
      </c>
      <c r="AH25" s="3" t="s">
        <v>434</v>
      </c>
      <c r="AI25" s="3" t="s">
        <v>321</v>
      </c>
      <c r="AJ25" s="5">
        <v>2.4E-2</v>
      </c>
      <c r="AK25" s="5">
        <v>6.9000000000000006E-2</v>
      </c>
      <c r="AL25" s="5">
        <v>3.4000000000000002E-2</v>
      </c>
      <c r="AM25" s="3" t="s">
        <v>1088</v>
      </c>
      <c r="AN25" s="3" t="s">
        <v>1090</v>
      </c>
      <c r="AO25" s="3" t="s">
        <v>1091</v>
      </c>
      <c r="AP25" s="3" t="s">
        <v>452</v>
      </c>
      <c r="AQ25" s="3">
        <v>2010</v>
      </c>
      <c r="AR25" s="3" t="s">
        <v>453</v>
      </c>
      <c r="AS25" s="3" t="s">
        <v>492</v>
      </c>
      <c r="AU25" s="3" t="s">
        <v>478</v>
      </c>
      <c r="AV25" s="3" t="s">
        <v>484</v>
      </c>
      <c r="AW25" s="3" t="s">
        <v>323</v>
      </c>
      <c r="AX25" s="5">
        <v>6.9000000000000006E-2</v>
      </c>
      <c r="AZ25" s="5">
        <v>6.9000000000000006E-2</v>
      </c>
      <c r="BD25" s="5">
        <f>((48.1+13.4)*1000000)/((64317.1+11060.9)*1000000)</f>
        <v>8.1588792485871213E-4</v>
      </c>
      <c r="BE25" s="3" t="s">
        <v>434</v>
      </c>
      <c r="BF25" s="4">
        <v>81074000000</v>
      </c>
      <c r="BG25" s="4">
        <v>102908800000</v>
      </c>
      <c r="BH25" s="4">
        <v>21834800000</v>
      </c>
      <c r="BI25" s="5">
        <v>0.78800000000000003</v>
      </c>
      <c r="BJ25" s="4">
        <v>13856600000</v>
      </c>
      <c r="BK25" s="4">
        <f>5616300000+944000000</f>
        <v>6560300000</v>
      </c>
      <c r="BT25" s="4">
        <f>349100000+462200000</f>
        <v>811300000</v>
      </c>
      <c r="CD25" s="4">
        <f>48.3*1000000</f>
        <v>48300000</v>
      </c>
      <c r="CG25" s="4">
        <f>(559.8+959.7)*1000000</f>
        <v>1519500000</v>
      </c>
      <c r="CH25" s="31">
        <f>(24548.8-18483.2+3484.1-1555)*1000000</f>
        <v>7994699999.999999</v>
      </c>
      <c r="CM25" s="4">
        <f>(605.1+582.1)*1000000</f>
        <v>1187200000</v>
      </c>
      <c r="CN25" s="4">
        <f>101000000+1216700000</f>
        <v>1317700000</v>
      </c>
      <c r="CO25" s="4"/>
      <c r="CP25" s="56">
        <f>(-2290.3-1113.8)*1000000</f>
        <v>-3404100000.0000005</v>
      </c>
    </row>
    <row r="26" spans="1:94" x14ac:dyDescent="0.35">
      <c r="Q26" s="5"/>
      <c r="R26" s="5"/>
    </row>
    <row r="27" spans="1:94" x14ac:dyDescent="0.35">
      <c r="A27" s="3" t="s">
        <v>276</v>
      </c>
    </row>
    <row r="28" spans="1:94" x14ac:dyDescent="0.35">
      <c r="A28" s="3" t="s">
        <v>319</v>
      </c>
      <c r="B28" s="3">
        <v>2001</v>
      </c>
      <c r="E28" s="3" t="s">
        <v>1104</v>
      </c>
      <c r="F28" s="3" t="s">
        <v>1104</v>
      </c>
      <c r="G28" s="3" t="s">
        <v>1104</v>
      </c>
      <c r="I28" s="3" t="s">
        <v>1104</v>
      </c>
      <c r="J28" s="3" t="s">
        <v>1104</v>
      </c>
      <c r="L28" s="3" t="s">
        <v>1105</v>
      </c>
      <c r="M28" s="3" t="s">
        <v>1105</v>
      </c>
      <c r="R28" s="3" t="s">
        <v>1104</v>
      </c>
      <c r="S28" s="3" t="s">
        <v>1106</v>
      </c>
      <c r="T28" s="3" t="s">
        <v>1107</v>
      </c>
      <c r="W28" s="3" t="s">
        <v>1107</v>
      </c>
      <c r="X28" s="3" t="s">
        <v>1108</v>
      </c>
      <c r="AB28" s="3" t="s">
        <v>1108</v>
      </c>
      <c r="AF28" s="3" t="s">
        <v>1109</v>
      </c>
      <c r="AH28" s="3" t="s">
        <v>531</v>
      </c>
      <c r="AJ28" s="3" t="s">
        <v>1110</v>
      </c>
      <c r="AK28" s="3" t="s">
        <v>1110</v>
      </c>
      <c r="AL28" s="3" t="s">
        <v>1110</v>
      </c>
      <c r="AP28" s="3" t="s">
        <v>1111</v>
      </c>
      <c r="AQ28" s="3" t="s">
        <v>1111</v>
      </c>
      <c r="AS28" s="3" t="s">
        <v>1111</v>
      </c>
      <c r="AU28" s="3" t="s">
        <v>1112</v>
      </c>
      <c r="AV28" s="3" t="s">
        <v>1112</v>
      </c>
      <c r="AW28" s="3" t="s">
        <v>1112</v>
      </c>
      <c r="AX28" s="3" t="s">
        <v>1110</v>
      </c>
      <c r="AZ28" s="3" t="s">
        <v>1110</v>
      </c>
      <c r="BA28" s="3" t="s">
        <v>1112</v>
      </c>
      <c r="BD28" s="3" t="s">
        <v>1105</v>
      </c>
      <c r="BF28" s="3" t="s">
        <v>1113</v>
      </c>
      <c r="BG28" s="3" t="s">
        <v>1113</v>
      </c>
      <c r="BH28" s="3" t="s">
        <v>1113</v>
      </c>
      <c r="BI28" s="3" t="s">
        <v>1113</v>
      </c>
      <c r="BJ28" s="3" t="s">
        <v>1113</v>
      </c>
    </row>
    <row r="29" spans="1:94" x14ac:dyDescent="0.35">
      <c r="A29" s="3" t="s">
        <v>319</v>
      </c>
      <c r="B29" s="3">
        <f t="shared" ref="B29:B45" si="1">B28+1</f>
        <v>2002</v>
      </c>
      <c r="E29" s="3" t="s">
        <v>1114</v>
      </c>
      <c r="F29" s="3" t="s">
        <v>1114</v>
      </c>
      <c r="G29" s="3" t="s">
        <v>1114</v>
      </c>
      <c r="I29" s="3" t="s">
        <v>1114</v>
      </c>
      <c r="J29" s="3" t="s">
        <v>1114</v>
      </c>
      <c r="R29" s="3" t="s">
        <v>1114</v>
      </c>
      <c r="AH29" s="3" t="s">
        <v>532</v>
      </c>
      <c r="AJ29" s="3" t="s">
        <v>1115</v>
      </c>
      <c r="AK29" s="3" t="s">
        <v>1115</v>
      </c>
      <c r="AL29" s="3" t="s">
        <v>1115</v>
      </c>
      <c r="AU29" s="3" t="s">
        <v>1115</v>
      </c>
      <c r="AV29" s="3" t="s">
        <v>1115</v>
      </c>
      <c r="AW29" s="3" t="s">
        <v>1115</v>
      </c>
      <c r="AX29" s="3" t="s">
        <v>1115</v>
      </c>
      <c r="AZ29" s="3" t="s">
        <v>1115</v>
      </c>
      <c r="BA29" s="3" t="s">
        <v>1115</v>
      </c>
      <c r="BF29" s="3" t="s">
        <v>1113</v>
      </c>
      <c r="BG29" s="3" t="s">
        <v>1113</v>
      </c>
      <c r="BH29" s="3" t="s">
        <v>1113</v>
      </c>
      <c r="BI29" s="3" t="s">
        <v>1113</v>
      </c>
      <c r="BJ29" s="3" t="s">
        <v>1113</v>
      </c>
    </row>
    <row r="30" spans="1:94" x14ac:dyDescent="0.35">
      <c r="A30" s="3" t="s">
        <v>319</v>
      </c>
      <c r="B30" s="3">
        <f t="shared" si="1"/>
        <v>2003</v>
      </c>
      <c r="E30" s="3" t="s">
        <v>1116</v>
      </c>
      <c r="F30" s="3" t="s">
        <v>1116</v>
      </c>
      <c r="G30" s="3" t="s">
        <v>1116</v>
      </c>
      <c r="I30" s="3" t="s">
        <v>1116</v>
      </c>
      <c r="J30" s="3" t="s">
        <v>1116</v>
      </c>
      <c r="L30" s="3" t="s">
        <v>1117</v>
      </c>
      <c r="M30" s="3" t="s">
        <v>1117</v>
      </c>
      <c r="R30" s="3" t="s">
        <v>1116</v>
      </c>
      <c r="S30" s="3" t="s">
        <v>1118</v>
      </c>
      <c r="T30" s="3" t="s">
        <v>1119</v>
      </c>
      <c r="W30" s="3" t="s">
        <v>1119</v>
      </c>
      <c r="X30" s="3" t="s">
        <v>1120</v>
      </c>
      <c r="AB30" s="3" t="s">
        <v>1120</v>
      </c>
      <c r="AF30" s="3" t="s">
        <v>1121</v>
      </c>
      <c r="AH30" s="3" t="s">
        <v>533</v>
      </c>
      <c r="AJ30" s="3" t="s">
        <v>1122</v>
      </c>
      <c r="AK30" s="3" t="s">
        <v>1122</v>
      </c>
      <c r="AL30" s="3" t="s">
        <v>1122</v>
      </c>
      <c r="AM30" s="3" t="s">
        <v>1123</v>
      </c>
      <c r="AP30" s="3" t="s">
        <v>1124</v>
      </c>
      <c r="AQ30" s="3" t="s">
        <v>1124</v>
      </c>
      <c r="AS30" s="3" t="s">
        <v>1124</v>
      </c>
      <c r="AU30" s="3" t="s">
        <v>1125</v>
      </c>
      <c r="AV30" s="3" t="s">
        <v>1125</v>
      </c>
      <c r="AW30" s="3" t="s">
        <v>1125</v>
      </c>
      <c r="AX30" s="3" t="s">
        <v>1122</v>
      </c>
      <c r="AZ30" s="3" t="s">
        <v>1122</v>
      </c>
      <c r="BA30" s="3" t="s">
        <v>1126</v>
      </c>
      <c r="BD30" s="3" t="s">
        <v>1117</v>
      </c>
      <c r="BF30" s="3" t="s">
        <v>1113</v>
      </c>
      <c r="BG30" s="3" t="s">
        <v>1113</v>
      </c>
      <c r="BH30" s="3" t="s">
        <v>1113</v>
      </c>
      <c r="BI30" s="3" t="s">
        <v>1113</v>
      </c>
      <c r="BJ30" s="3" t="s">
        <v>1113</v>
      </c>
    </row>
    <row r="31" spans="1:94" x14ac:dyDescent="0.35">
      <c r="A31" s="3" t="s">
        <v>319</v>
      </c>
      <c r="B31" s="3">
        <f t="shared" si="1"/>
        <v>2004</v>
      </c>
      <c r="C31" s="3" t="s">
        <v>1127</v>
      </c>
      <c r="F31" s="3" t="s">
        <v>1128</v>
      </c>
      <c r="G31" s="3" t="s">
        <v>1128</v>
      </c>
      <c r="I31" s="3" t="s">
        <v>1128</v>
      </c>
      <c r="J31" s="3" t="s">
        <v>1128</v>
      </c>
      <c r="L31" s="3" t="s">
        <v>1129</v>
      </c>
      <c r="M31" s="3" t="s">
        <v>1129</v>
      </c>
      <c r="R31" s="3" t="s">
        <v>1128</v>
      </c>
      <c r="S31" s="3" t="s">
        <v>1130</v>
      </c>
      <c r="T31" s="3" t="s">
        <v>1131</v>
      </c>
      <c r="W31" s="3" t="s">
        <v>1131</v>
      </c>
      <c r="X31" s="3" t="s">
        <v>1132</v>
      </c>
      <c r="AB31" s="3" t="s">
        <v>1132</v>
      </c>
      <c r="AF31" s="3" t="s">
        <v>1133</v>
      </c>
      <c r="AH31" s="3" t="s">
        <v>534</v>
      </c>
      <c r="AJ31" s="3" t="s">
        <v>1134</v>
      </c>
      <c r="AK31" s="3" t="s">
        <v>1134</v>
      </c>
      <c r="AL31" s="3" t="s">
        <v>1134</v>
      </c>
      <c r="AM31" s="3" t="s">
        <v>1135</v>
      </c>
      <c r="AP31" s="3" t="s">
        <v>1136</v>
      </c>
      <c r="AQ31" s="3" t="s">
        <v>1136</v>
      </c>
      <c r="AS31" s="3" t="s">
        <v>1136</v>
      </c>
      <c r="AU31" s="3" t="s">
        <v>1137</v>
      </c>
      <c r="AV31" s="3" t="s">
        <v>1137</v>
      </c>
      <c r="AW31" s="3" t="s">
        <v>1138</v>
      </c>
      <c r="AX31" s="3" t="s">
        <v>1134</v>
      </c>
      <c r="AZ31" s="3" t="s">
        <v>1134</v>
      </c>
      <c r="BA31" s="3" t="s">
        <v>1137</v>
      </c>
      <c r="BD31" s="3" t="s">
        <v>1129</v>
      </c>
      <c r="BE31" s="3" t="s">
        <v>1113</v>
      </c>
      <c r="BF31" s="3" t="s">
        <v>1113</v>
      </c>
      <c r="BG31" s="3" t="s">
        <v>1113</v>
      </c>
      <c r="BH31" s="3" t="s">
        <v>1113</v>
      </c>
      <c r="BI31" s="3" t="s">
        <v>1113</v>
      </c>
      <c r="BJ31" s="3" t="s">
        <v>1113</v>
      </c>
      <c r="BK31" s="3" t="s">
        <v>1139</v>
      </c>
      <c r="BT31" s="3" t="s">
        <v>1139</v>
      </c>
      <c r="CG31" s="3" t="s">
        <v>1139</v>
      </c>
      <c r="CH31" s="3" t="s">
        <v>1139</v>
      </c>
      <c r="CM31" s="3" t="s">
        <v>1139</v>
      </c>
      <c r="CN31" s="3" t="s">
        <v>1139</v>
      </c>
      <c r="CP31" s="3" t="s">
        <v>1139</v>
      </c>
    </row>
    <row r="32" spans="1:94" x14ac:dyDescent="0.35">
      <c r="A32" s="3" t="s">
        <v>319</v>
      </c>
      <c r="B32" s="3">
        <f t="shared" si="1"/>
        <v>2005</v>
      </c>
      <c r="C32" s="3" t="s">
        <v>1140</v>
      </c>
      <c r="T32" s="3" t="s">
        <v>1141</v>
      </c>
      <c r="W32" s="3" t="s">
        <v>1141</v>
      </c>
      <c r="X32" s="3" t="s">
        <v>1142</v>
      </c>
      <c r="AB32" s="3" t="s">
        <v>1142</v>
      </c>
      <c r="AH32" s="3" t="s">
        <v>535</v>
      </c>
      <c r="AJ32" s="3" t="s">
        <v>1143</v>
      </c>
      <c r="AK32" s="3" t="s">
        <v>1143</v>
      </c>
      <c r="AL32" s="3" t="s">
        <v>1143</v>
      </c>
      <c r="AM32" s="3" t="s">
        <v>1144</v>
      </c>
      <c r="AP32" s="3" t="s">
        <v>1145</v>
      </c>
      <c r="AQ32" s="3" t="s">
        <v>1145</v>
      </c>
      <c r="AS32" s="3" t="s">
        <v>1145</v>
      </c>
      <c r="AU32" s="3" t="s">
        <v>1146</v>
      </c>
      <c r="AV32" s="3" t="s">
        <v>1146</v>
      </c>
      <c r="AW32" s="3" t="s">
        <v>1146</v>
      </c>
      <c r="AX32" s="3" t="s">
        <v>1143</v>
      </c>
      <c r="AZ32" s="3" t="s">
        <v>1143</v>
      </c>
      <c r="BF32" s="3" t="s">
        <v>1147</v>
      </c>
      <c r="BG32" s="3" t="s">
        <v>1147</v>
      </c>
      <c r="BH32" s="3" t="s">
        <v>1147</v>
      </c>
      <c r="BI32" s="3" t="s">
        <v>1147</v>
      </c>
      <c r="BJ32" s="3" t="s">
        <v>1147</v>
      </c>
    </row>
    <row r="33" spans="1:94" x14ac:dyDescent="0.35">
      <c r="A33" s="3" t="s">
        <v>319</v>
      </c>
      <c r="B33" s="3">
        <f t="shared" si="1"/>
        <v>2006</v>
      </c>
      <c r="F33" s="3" t="s">
        <v>1148</v>
      </c>
      <c r="G33" s="3" t="s">
        <v>1148</v>
      </c>
      <c r="I33" s="3" t="s">
        <v>1148</v>
      </c>
      <c r="J33" s="3" t="s">
        <v>1148</v>
      </c>
      <c r="L33" s="3" t="s">
        <v>1149</v>
      </c>
      <c r="M33" s="3" t="s">
        <v>1149</v>
      </c>
      <c r="R33" s="3" t="s">
        <v>1148</v>
      </c>
      <c r="S33" s="3" t="s">
        <v>1150</v>
      </c>
      <c r="T33" s="3" t="s">
        <v>1151</v>
      </c>
      <c r="W33" s="3" t="s">
        <v>1151</v>
      </c>
      <c r="X33" s="3" t="s">
        <v>1152</v>
      </c>
      <c r="AB33" s="3" t="s">
        <v>1152</v>
      </c>
      <c r="AF33" s="3" t="s">
        <v>1153</v>
      </c>
      <c r="AH33" s="3" t="s">
        <v>536</v>
      </c>
      <c r="AJ33" s="3" t="s">
        <v>1154</v>
      </c>
      <c r="AK33" s="3" t="s">
        <v>1154</v>
      </c>
      <c r="AL33" s="3" t="s">
        <v>1154</v>
      </c>
      <c r="AM33" s="3" t="s">
        <v>1155</v>
      </c>
      <c r="AP33" s="3" t="s">
        <v>1156</v>
      </c>
      <c r="AQ33" s="3" t="s">
        <v>1156</v>
      </c>
      <c r="AS33" s="3" t="s">
        <v>1156</v>
      </c>
      <c r="AU33" s="3" t="s">
        <v>1154</v>
      </c>
      <c r="AV33" s="3" t="s">
        <v>1154</v>
      </c>
      <c r="AW33" s="3" t="s">
        <v>1154</v>
      </c>
      <c r="AX33" s="3" t="s">
        <v>1154</v>
      </c>
      <c r="AZ33" s="3" t="s">
        <v>1154</v>
      </c>
      <c r="BD33" s="3" t="s">
        <v>1149</v>
      </c>
      <c r="BE33" s="3" t="s">
        <v>1157</v>
      </c>
      <c r="BF33" s="3" t="s">
        <v>1147</v>
      </c>
      <c r="BG33" s="3" t="s">
        <v>1147</v>
      </c>
      <c r="BH33" s="3" t="s">
        <v>1147</v>
      </c>
      <c r="BI33" s="3" t="s">
        <v>1147</v>
      </c>
      <c r="BJ33" s="3" t="s">
        <v>1147</v>
      </c>
      <c r="BK33" s="3" t="s">
        <v>1158</v>
      </c>
      <c r="BT33" s="3" t="s">
        <v>1158</v>
      </c>
      <c r="CD33" s="3" t="s">
        <v>1159</v>
      </c>
      <c r="CG33" s="3" t="s">
        <v>1158</v>
      </c>
      <c r="CH33" s="3" t="s">
        <v>1158</v>
      </c>
      <c r="CM33" s="3" t="s">
        <v>1158</v>
      </c>
      <c r="CN33" s="3" t="s">
        <v>1158</v>
      </c>
      <c r="CP33" s="3" t="s">
        <v>1158</v>
      </c>
    </row>
    <row r="34" spans="1:94" x14ac:dyDescent="0.35">
      <c r="A34" s="3" t="s">
        <v>319</v>
      </c>
      <c r="B34" s="3">
        <f t="shared" si="1"/>
        <v>2007</v>
      </c>
      <c r="C34" s="3" t="s">
        <v>1160</v>
      </c>
      <c r="F34" s="3" t="s">
        <v>1161</v>
      </c>
      <c r="G34" s="3" t="s">
        <v>1161</v>
      </c>
      <c r="I34" s="3" t="s">
        <v>1161</v>
      </c>
      <c r="J34" s="3" t="s">
        <v>1161</v>
      </c>
      <c r="L34" s="3" t="s">
        <v>1162</v>
      </c>
      <c r="M34" s="3" t="s">
        <v>1162</v>
      </c>
      <c r="R34" s="3" t="s">
        <v>1161</v>
      </c>
      <c r="S34" s="3" t="s">
        <v>1163</v>
      </c>
      <c r="T34" s="3" t="s">
        <v>1164</v>
      </c>
      <c r="W34" s="3" t="s">
        <v>1164</v>
      </c>
      <c r="X34" s="3" t="s">
        <v>1165</v>
      </c>
      <c r="AB34" s="3" t="s">
        <v>1165</v>
      </c>
      <c r="AF34" s="3" t="s">
        <v>1166</v>
      </c>
      <c r="AH34" s="3" t="s">
        <v>537</v>
      </c>
      <c r="AJ34" s="3" t="s">
        <v>1167</v>
      </c>
      <c r="AK34" s="3" t="s">
        <v>1167</v>
      </c>
      <c r="AL34" s="3" t="s">
        <v>1167</v>
      </c>
      <c r="AM34" s="3" t="s">
        <v>1168</v>
      </c>
      <c r="AP34" s="3" t="s">
        <v>1169</v>
      </c>
      <c r="AQ34" s="3" t="s">
        <v>1169</v>
      </c>
      <c r="AS34" s="3" t="s">
        <v>1169</v>
      </c>
      <c r="AU34" s="3" t="s">
        <v>1167</v>
      </c>
      <c r="AV34" s="3" t="s">
        <v>1167</v>
      </c>
      <c r="AW34" s="3" t="s">
        <v>1167</v>
      </c>
      <c r="AX34" s="3" t="s">
        <v>1167</v>
      </c>
      <c r="AZ34" s="3" t="s">
        <v>1167</v>
      </c>
      <c r="BD34" s="3" t="s">
        <v>1162</v>
      </c>
      <c r="BE34" s="3" t="s">
        <v>1170</v>
      </c>
      <c r="BF34" s="3" t="s">
        <v>1171</v>
      </c>
      <c r="BG34" s="3" t="s">
        <v>1171</v>
      </c>
      <c r="BH34" s="3" t="s">
        <v>1171</v>
      </c>
      <c r="BI34" s="3" t="s">
        <v>1171</v>
      </c>
      <c r="BJ34" s="3" t="s">
        <v>1171</v>
      </c>
      <c r="BK34" s="3" t="s">
        <v>1172</v>
      </c>
      <c r="BT34" s="3" t="s">
        <v>1172</v>
      </c>
      <c r="CD34" s="3" t="s">
        <v>1173</v>
      </c>
      <c r="CG34" s="3" t="s">
        <v>1172</v>
      </c>
      <c r="CH34" s="3" t="s">
        <v>1172</v>
      </c>
      <c r="CM34" s="3" t="s">
        <v>1172</v>
      </c>
      <c r="CN34" s="3" t="s">
        <v>1172</v>
      </c>
      <c r="CP34" s="3" t="s">
        <v>1172</v>
      </c>
    </row>
    <row r="35" spans="1:94" x14ac:dyDescent="0.35">
      <c r="A35" s="3" t="s">
        <v>319</v>
      </c>
      <c r="B35" s="3">
        <f t="shared" si="1"/>
        <v>2008</v>
      </c>
      <c r="F35" s="3" t="s">
        <v>1174</v>
      </c>
      <c r="G35" s="3" t="s">
        <v>1174</v>
      </c>
      <c r="I35" s="3" t="s">
        <v>1174</v>
      </c>
      <c r="J35" s="3" t="s">
        <v>1174</v>
      </c>
      <c r="L35" s="3" t="s">
        <v>1175</v>
      </c>
      <c r="M35" s="3" t="s">
        <v>1175</v>
      </c>
      <c r="R35" s="3" t="s">
        <v>1174</v>
      </c>
      <c r="S35" s="3" t="s">
        <v>1176</v>
      </c>
      <c r="T35" s="3" t="s">
        <v>1177</v>
      </c>
      <c r="W35" s="3" t="s">
        <v>1177</v>
      </c>
      <c r="X35" s="3" t="s">
        <v>1178</v>
      </c>
      <c r="AB35" s="3" t="s">
        <v>1178</v>
      </c>
      <c r="AF35" s="3" t="s">
        <v>1179</v>
      </c>
      <c r="AH35" s="3" t="s">
        <v>538</v>
      </c>
      <c r="AJ35" s="3" t="s">
        <v>1180</v>
      </c>
      <c r="AK35" s="3" t="s">
        <v>1180</v>
      </c>
      <c r="AL35" s="3" t="s">
        <v>1180</v>
      </c>
      <c r="AM35" s="3" t="s">
        <v>1181</v>
      </c>
      <c r="AP35" s="3" t="s">
        <v>1182</v>
      </c>
      <c r="AQ35" s="3" t="s">
        <v>1182</v>
      </c>
      <c r="AS35" s="3" t="s">
        <v>1182</v>
      </c>
      <c r="AU35" s="3" t="s">
        <v>1180</v>
      </c>
      <c r="AV35" s="3" t="s">
        <v>1180</v>
      </c>
      <c r="AW35" s="3" t="s">
        <v>1180</v>
      </c>
      <c r="AX35" s="3" t="s">
        <v>1180</v>
      </c>
      <c r="AZ35" s="3" t="s">
        <v>1180</v>
      </c>
      <c r="BD35" s="3" t="s">
        <v>1175</v>
      </c>
      <c r="BE35" s="3" t="s">
        <v>1183</v>
      </c>
      <c r="BF35" s="3" t="s">
        <v>1184</v>
      </c>
      <c r="BG35" s="3" t="s">
        <v>1184</v>
      </c>
      <c r="BH35" s="3" t="s">
        <v>1184</v>
      </c>
      <c r="BI35" s="3" t="s">
        <v>1184</v>
      </c>
      <c r="BJ35" s="3" t="s">
        <v>1184</v>
      </c>
      <c r="BK35" s="3" t="s">
        <v>1185</v>
      </c>
      <c r="BT35" s="3" t="s">
        <v>1185</v>
      </c>
      <c r="CD35" s="3" t="s">
        <v>1186</v>
      </c>
      <c r="CG35" s="3" t="s">
        <v>1185</v>
      </c>
      <c r="CH35" s="3" t="s">
        <v>1185</v>
      </c>
      <c r="CM35" s="3" t="s">
        <v>1185</v>
      </c>
      <c r="CN35" s="3" t="s">
        <v>1185</v>
      </c>
      <c r="CP35" s="3" t="s">
        <v>1185</v>
      </c>
    </row>
    <row r="36" spans="1:94" x14ac:dyDescent="0.35">
      <c r="A36" s="3" t="s">
        <v>319</v>
      </c>
      <c r="B36" s="3">
        <f t="shared" si="1"/>
        <v>2009</v>
      </c>
      <c r="C36" s="3" t="s">
        <v>1187</v>
      </c>
      <c r="F36" s="3" t="s">
        <v>1188</v>
      </c>
      <c r="G36" s="3" t="s">
        <v>1188</v>
      </c>
      <c r="I36" s="3" t="s">
        <v>1188</v>
      </c>
      <c r="J36" s="3" t="s">
        <v>1188</v>
      </c>
      <c r="L36" s="3" t="s">
        <v>1189</v>
      </c>
      <c r="M36" s="3" t="s">
        <v>1189</v>
      </c>
      <c r="R36" s="3" t="s">
        <v>1188</v>
      </c>
      <c r="S36" s="3" t="s">
        <v>1190</v>
      </c>
      <c r="T36" s="3" t="s">
        <v>1191</v>
      </c>
      <c r="W36" s="3" t="s">
        <v>1191</v>
      </c>
      <c r="X36" s="3" t="s">
        <v>1192</v>
      </c>
      <c r="AB36" s="3" t="s">
        <v>1192</v>
      </c>
      <c r="AF36" s="3" t="s">
        <v>1193</v>
      </c>
      <c r="AH36" s="3" t="s">
        <v>539</v>
      </c>
      <c r="AJ36" s="3" t="s">
        <v>1194</v>
      </c>
      <c r="AK36" s="3" t="s">
        <v>1194</v>
      </c>
      <c r="AL36" s="3" t="s">
        <v>1194</v>
      </c>
      <c r="AM36" s="3" t="s">
        <v>1195</v>
      </c>
      <c r="AP36" s="3" t="s">
        <v>1196</v>
      </c>
      <c r="AQ36" s="3" t="s">
        <v>1196</v>
      </c>
      <c r="AS36" s="3" t="s">
        <v>1196</v>
      </c>
      <c r="AU36" s="3" t="s">
        <v>1194</v>
      </c>
      <c r="AV36" s="3" t="s">
        <v>1194</v>
      </c>
      <c r="AW36" s="3" t="s">
        <v>1194</v>
      </c>
      <c r="AX36" s="3" t="s">
        <v>1194</v>
      </c>
      <c r="AZ36" s="3" t="s">
        <v>1194</v>
      </c>
      <c r="BD36" s="3" t="s">
        <v>1189</v>
      </c>
      <c r="BE36" s="3" t="s">
        <v>1197</v>
      </c>
      <c r="BF36" s="3" t="s">
        <v>1198</v>
      </c>
      <c r="BG36" s="3" t="s">
        <v>1198</v>
      </c>
      <c r="BH36" s="3" t="s">
        <v>1198</v>
      </c>
      <c r="BI36" s="3" t="s">
        <v>1198</v>
      </c>
      <c r="BJ36" s="3" t="s">
        <v>1198</v>
      </c>
      <c r="BK36" s="3" t="s">
        <v>1199</v>
      </c>
      <c r="BT36" s="3" t="s">
        <v>1199</v>
      </c>
      <c r="CD36" s="3" t="s">
        <v>1200</v>
      </c>
      <c r="CG36" s="3" t="s">
        <v>1199</v>
      </c>
      <c r="CH36" s="3" t="s">
        <v>1199</v>
      </c>
      <c r="CM36" s="3" t="s">
        <v>1199</v>
      </c>
      <c r="CN36" s="3" t="s">
        <v>1199</v>
      </c>
      <c r="CP36" s="3" t="s">
        <v>1199</v>
      </c>
    </row>
    <row r="37" spans="1:94" x14ac:dyDescent="0.35">
      <c r="A37" s="3" t="s">
        <v>319</v>
      </c>
      <c r="B37" s="3">
        <f t="shared" si="1"/>
        <v>2010</v>
      </c>
      <c r="F37" s="3" t="s">
        <v>1201</v>
      </c>
      <c r="G37" s="3" t="s">
        <v>1201</v>
      </c>
      <c r="I37" s="3" t="s">
        <v>1201</v>
      </c>
      <c r="J37" s="3" t="s">
        <v>1201</v>
      </c>
      <c r="L37" s="3" t="s">
        <v>1202</v>
      </c>
      <c r="M37" s="3" t="s">
        <v>1202</v>
      </c>
      <c r="R37" s="3" t="s">
        <v>1201</v>
      </c>
      <c r="S37" s="3" t="s">
        <v>1203</v>
      </c>
      <c r="T37" s="3" t="s">
        <v>1204</v>
      </c>
      <c r="W37" s="3" t="s">
        <v>1204</v>
      </c>
      <c r="X37" s="3" t="s">
        <v>1205</v>
      </c>
      <c r="AB37" s="3" t="s">
        <v>1205</v>
      </c>
      <c r="AF37" s="3" t="s">
        <v>1206</v>
      </c>
      <c r="AH37" s="3" t="s">
        <v>540</v>
      </c>
      <c r="AJ37" s="3" t="s">
        <v>1207</v>
      </c>
      <c r="AK37" s="3" t="s">
        <v>1207</v>
      </c>
      <c r="AL37" s="3" t="s">
        <v>1207</v>
      </c>
      <c r="AM37" s="3" t="s">
        <v>1208</v>
      </c>
      <c r="AP37" s="3" t="s">
        <v>1209</v>
      </c>
      <c r="AQ37" s="3" t="s">
        <v>1209</v>
      </c>
      <c r="AS37" s="3" t="s">
        <v>1209</v>
      </c>
      <c r="AU37" s="3" t="s">
        <v>1207</v>
      </c>
      <c r="AV37" s="3" t="s">
        <v>1207</v>
      </c>
      <c r="AW37" s="3" t="s">
        <v>1207</v>
      </c>
      <c r="AX37" s="3" t="s">
        <v>1207</v>
      </c>
      <c r="AZ37" s="3" t="s">
        <v>1207</v>
      </c>
      <c r="BD37" s="3" t="s">
        <v>1202</v>
      </c>
      <c r="BE37" s="3" t="s">
        <v>1210</v>
      </c>
      <c r="BF37" s="3" t="s">
        <v>1211</v>
      </c>
      <c r="BG37" s="3" t="s">
        <v>1211</v>
      </c>
      <c r="BH37" s="3" t="s">
        <v>1211</v>
      </c>
      <c r="BI37" s="3" t="s">
        <v>1211</v>
      </c>
      <c r="BJ37" s="3" t="s">
        <v>1211</v>
      </c>
      <c r="BK37" s="3" t="s">
        <v>1212</v>
      </c>
      <c r="BT37" s="3" t="s">
        <v>1212</v>
      </c>
      <c r="CD37" s="3" t="s">
        <v>1213</v>
      </c>
      <c r="CG37" s="3" t="s">
        <v>1212</v>
      </c>
      <c r="CH37" s="3" t="s">
        <v>1212</v>
      </c>
      <c r="CM37" s="3" t="s">
        <v>1212</v>
      </c>
      <c r="CN37" s="3" t="s">
        <v>1212</v>
      </c>
      <c r="CP37" s="3" t="s">
        <v>1212</v>
      </c>
    </row>
    <row r="38" spans="1:94" x14ac:dyDescent="0.35">
      <c r="A38" s="3" t="s">
        <v>319</v>
      </c>
      <c r="B38" s="3">
        <f t="shared" si="1"/>
        <v>2011</v>
      </c>
      <c r="C38" s="3" t="s">
        <v>1214</v>
      </c>
      <c r="F38" s="3" t="s">
        <v>1215</v>
      </c>
      <c r="G38" s="3" t="s">
        <v>1215</v>
      </c>
      <c r="I38" s="3" t="s">
        <v>1215</v>
      </c>
      <c r="J38" s="3" t="s">
        <v>1215</v>
      </c>
      <c r="L38" s="3" t="s">
        <v>1216</v>
      </c>
      <c r="M38" s="3" t="s">
        <v>1216</v>
      </c>
      <c r="R38" s="3" t="s">
        <v>1215</v>
      </c>
      <c r="S38" s="3" t="s">
        <v>1217</v>
      </c>
      <c r="T38" s="3" t="s">
        <v>1218</v>
      </c>
      <c r="W38" s="3" t="s">
        <v>1218</v>
      </c>
      <c r="X38" s="3" t="s">
        <v>1219</v>
      </c>
      <c r="AB38" s="3" t="s">
        <v>1219</v>
      </c>
      <c r="AF38" s="3" t="s">
        <v>1220</v>
      </c>
      <c r="AH38" s="3" t="s">
        <v>541</v>
      </c>
      <c r="AJ38" s="3" t="s">
        <v>1221</v>
      </c>
      <c r="AK38" s="3" t="s">
        <v>1221</v>
      </c>
      <c r="AL38" s="3" t="s">
        <v>1221</v>
      </c>
      <c r="AM38" s="3" t="s">
        <v>1222</v>
      </c>
      <c r="AP38" s="3" t="s">
        <v>1223</v>
      </c>
      <c r="AQ38" s="3" t="s">
        <v>1223</v>
      </c>
      <c r="AS38" s="3" t="s">
        <v>1223</v>
      </c>
      <c r="AU38" s="3" t="s">
        <v>1221</v>
      </c>
      <c r="AV38" s="3" t="s">
        <v>1221</v>
      </c>
      <c r="AW38" s="3" t="s">
        <v>1221</v>
      </c>
      <c r="AX38" s="3" t="s">
        <v>1221</v>
      </c>
      <c r="AZ38" s="3" t="s">
        <v>1221</v>
      </c>
      <c r="BD38" s="3" t="s">
        <v>1216</v>
      </c>
      <c r="BE38" s="3" t="s">
        <v>1224</v>
      </c>
      <c r="BF38" s="3" t="s">
        <v>1225</v>
      </c>
      <c r="BG38" s="3" t="s">
        <v>1225</v>
      </c>
      <c r="BH38" s="3" t="s">
        <v>1225</v>
      </c>
      <c r="BI38" s="3" t="s">
        <v>1225</v>
      </c>
      <c r="BJ38" s="3" t="s">
        <v>1225</v>
      </c>
      <c r="BK38" s="3" t="s">
        <v>1226</v>
      </c>
      <c r="BT38" s="3" t="s">
        <v>1226</v>
      </c>
      <c r="CD38" s="3" t="s">
        <v>1227</v>
      </c>
      <c r="CG38" s="3" t="s">
        <v>1226</v>
      </c>
      <c r="CH38" s="3" t="s">
        <v>1226</v>
      </c>
      <c r="CM38" s="3" t="s">
        <v>1226</v>
      </c>
      <c r="CN38" s="3" t="s">
        <v>1226</v>
      </c>
      <c r="CP38" s="3" t="s">
        <v>1226</v>
      </c>
    </row>
    <row r="39" spans="1:94" x14ac:dyDescent="0.35">
      <c r="A39" s="3" t="s">
        <v>319</v>
      </c>
      <c r="B39" s="3">
        <f t="shared" si="1"/>
        <v>2012</v>
      </c>
      <c r="F39" s="3" t="s">
        <v>1228</v>
      </c>
      <c r="G39" s="3" t="s">
        <v>1228</v>
      </c>
      <c r="I39" s="3" t="s">
        <v>1228</v>
      </c>
      <c r="J39" s="3" t="s">
        <v>1228</v>
      </c>
      <c r="L39" s="3" t="s">
        <v>1229</v>
      </c>
      <c r="M39" s="3" t="s">
        <v>1229</v>
      </c>
      <c r="R39" s="3" t="s">
        <v>1228</v>
      </c>
      <c r="S39" s="3" t="s">
        <v>1230</v>
      </c>
      <c r="T39" s="3" t="s">
        <v>1231</v>
      </c>
      <c r="W39" s="3" t="s">
        <v>1231</v>
      </c>
      <c r="X39" s="3" t="s">
        <v>1232</v>
      </c>
      <c r="Z39" s="3" t="s">
        <v>1232</v>
      </c>
      <c r="AB39" s="3" t="s">
        <v>1232</v>
      </c>
      <c r="AF39" s="3" t="s">
        <v>1233</v>
      </c>
      <c r="AH39" s="3" t="s">
        <v>542</v>
      </c>
      <c r="AJ39" s="3" t="s">
        <v>1234</v>
      </c>
      <c r="AK39" s="3" t="s">
        <v>1234</v>
      </c>
      <c r="AL39" s="3" t="s">
        <v>1234</v>
      </c>
      <c r="AM39" s="3" t="s">
        <v>1235</v>
      </c>
      <c r="AP39" s="3" t="s">
        <v>1236</v>
      </c>
      <c r="AQ39" s="3" t="s">
        <v>1236</v>
      </c>
      <c r="AS39" s="3" t="s">
        <v>1236</v>
      </c>
      <c r="AU39" s="3" t="s">
        <v>1234</v>
      </c>
      <c r="AV39" s="3" t="s">
        <v>1234</v>
      </c>
      <c r="AW39" s="3" t="s">
        <v>1234</v>
      </c>
      <c r="AX39" s="3" t="s">
        <v>1234</v>
      </c>
      <c r="AZ39" s="3" t="s">
        <v>1234</v>
      </c>
      <c r="BD39" s="3" t="s">
        <v>1229</v>
      </c>
      <c r="BE39" s="3" t="s">
        <v>1237</v>
      </c>
      <c r="BF39" s="3" t="s">
        <v>1238</v>
      </c>
      <c r="BG39" s="3" t="s">
        <v>1238</v>
      </c>
      <c r="BH39" s="3" t="s">
        <v>1238</v>
      </c>
      <c r="BI39" s="3" t="s">
        <v>1238</v>
      </c>
      <c r="BJ39" s="3" t="s">
        <v>1238</v>
      </c>
      <c r="BK39" s="3" t="s">
        <v>1239</v>
      </c>
      <c r="BT39" s="3" t="s">
        <v>1239</v>
      </c>
      <c r="CD39" s="3" t="s">
        <v>1240</v>
      </c>
      <c r="CG39" s="3" t="s">
        <v>1239</v>
      </c>
      <c r="CH39" s="3" t="s">
        <v>1239</v>
      </c>
      <c r="CM39" s="3" t="s">
        <v>1239</v>
      </c>
      <c r="CN39" s="3" t="s">
        <v>1239</v>
      </c>
      <c r="CP39" s="3" t="s">
        <v>1239</v>
      </c>
    </row>
    <row r="40" spans="1:94" x14ac:dyDescent="0.35">
      <c r="A40" s="3" t="s">
        <v>319</v>
      </c>
      <c r="B40" s="3">
        <f t="shared" si="1"/>
        <v>2013</v>
      </c>
      <c r="C40" s="3" t="s">
        <v>1241</v>
      </c>
      <c r="F40" s="3" t="s">
        <v>1242</v>
      </c>
      <c r="G40" s="3" t="s">
        <v>1242</v>
      </c>
      <c r="I40" s="3" t="s">
        <v>1242</v>
      </c>
      <c r="J40" s="3" t="s">
        <v>1242</v>
      </c>
      <c r="L40" s="3" t="s">
        <v>1243</v>
      </c>
      <c r="M40" s="3" t="s">
        <v>1243</v>
      </c>
      <c r="R40" s="3" t="s">
        <v>1242</v>
      </c>
      <c r="S40" s="3" t="s">
        <v>1244</v>
      </c>
      <c r="T40" s="3" t="s">
        <v>1245</v>
      </c>
      <c r="W40" s="3" t="s">
        <v>1245</v>
      </c>
      <c r="X40" s="3" t="s">
        <v>1246</v>
      </c>
      <c r="Z40" s="3" t="s">
        <v>1246</v>
      </c>
      <c r="AB40" s="3" t="s">
        <v>1246</v>
      </c>
      <c r="AF40" s="3" t="s">
        <v>1247</v>
      </c>
      <c r="AH40" s="3" t="s">
        <v>543</v>
      </c>
      <c r="AJ40" s="3" t="s">
        <v>1248</v>
      </c>
      <c r="AK40" s="3" t="s">
        <v>1248</v>
      </c>
      <c r="AL40" s="3" t="s">
        <v>1248</v>
      </c>
      <c r="AM40" s="3" t="s">
        <v>1249</v>
      </c>
      <c r="AP40" s="3" t="s">
        <v>1250</v>
      </c>
      <c r="AQ40" s="3" t="s">
        <v>1250</v>
      </c>
      <c r="AS40" s="3" t="s">
        <v>1250</v>
      </c>
      <c r="AU40" s="3" t="s">
        <v>1251</v>
      </c>
      <c r="AV40" s="3" t="s">
        <v>1252</v>
      </c>
      <c r="AW40" s="3" t="s">
        <v>1251</v>
      </c>
      <c r="AX40" s="3" t="s">
        <v>1248</v>
      </c>
      <c r="AZ40" s="3" t="s">
        <v>1248</v>
      </c>
      <c r="BD40" s="3" t="s">
        <v>1243</v>
      </c>
      <c r="BE40" s="3" t="s">
        <v>1253</v>
      </c>
      <c r="BF40" s="3" t="s">
        <v>1254</v>
      </c>
      <c r="BG40" s="3" t="s">
        <v>1254</v>
      </c>
      <c r="BH40" s="3" t="s">
        <v>1254</v>
      </c>
      <c r="BI40" s="3" t="s">
        <v>1254</v>
      </c>
      <c r="BJ40" s="3" t="s">
        <v>1254</v>
      </c>
      <c r="BK40" s="3" t="s">
        <v>1255</v>
      </c>
      <c r="BT40" s="3" t="s">
        <v>1255</v>
      </c>
      <c r="CD40" s="3" t="s">
        <v>1256</v>
      </c>
      <c r="CG40" s="3" t="s">
        <v>1255</v>
      </c>
      <c r="CH40" s="3" t="s">
        <v>1255</v>
      </c>
      <c r="CM40" s="3" t="s">
        <v>1255</v>
      </c>
      <c r="CN40" s="3" t="s">
        <v>1255</v>
      </c>
      <c r="CP40" s="3" t="s">
        <v>1255</v>
      </c>
    </row>
    <row r="41" spans="1:94" x14ac:dyDescent="0.35">
      <c r="A41" s="3" t="s">
        <v>319</v>
      </c>
      <c r="B41" s="3">
        <f t="shared" si="1"/>
        <v>2014</v>
      </c>
      <c r="F41" s="3" t="s">
        <v>1257</v>
      </c>
      <c r="G41" s="3" t="s">
        <v>1257</v>
      </c>
      <c r="I41" s="3" t="s">
        <v>1257</v>
      </c>
      <c r="J41" s="3" t="s">
        <v>1257</v>
      </c>
      <c r="L41" s="3" t="s">
        <v>1258</v>
      </c>
      <c r="M41" s="3" t="s">
        <v>1258</v>
      </c>
      <c r="R41" s="3" t="s">
        <v>1257</v>
      </c>
      <c r="S41" s="3" t="s">
        <v>1259</v>
      </c>
      <c r="T41" s="3" t="s">
        <v>1260</v>
      </c>
      <c r="W41" s="3" t="s">
        <v>1260</v>
      </c>
      <c r="X41" s="3" t="s">
        <v>1261</v>
      </c>
      <c r="Z41" s="3" t="s">
        <v>1261</v>
      </c>
      <c r="AB41" s="3" t="s">
        <v>1261</v>
      </c>
      <c r="AF41" s="3" t="s">
        <v>1262</v>
      </c>
      <c r="AH41" s="3" t="s">
        <v>544</v>
      </c>
      <c r="AJ41" s="3" t="s">
        <v>1263</v>
      </c>
      <c r="AK41" s="3" t="s">
        <v>1263</v>
      </c>
      <c r="AL41" s="3" t="s">
        <v>1263</v>
      </c>
      <c r="AM41" s="3" t="s">
        <v>1264</v>
      </c>
      <c r="AP41" s="3" t="s">
        <v>1265</v>
      </c>
      <c r="AQ41" s="3" t="s">
        <v>1265</v>
      </c>
      <c r="AS41" s="3" t="s">
        <v>1265</v>
      </c>
      <c r="AU41" s="3" t="s">
        <v>1266</v>
      </c>
      <c r="AV41" s="3" t="s">
        <v>1267</v>
      </c>
      <c r="AW41" s="3" t="s">
        <v>1266</v>
      </c>
      <c r="AX41" s="3" t="s">
        <v>549</v>
      </c>
      <c r="AZ41" s="3" t="s">
        <v>1263</v>
      </c>
      <c r="BD41" s="3" t="s">
        <v>1258</v>
      </c>
      <c r="BE41" s="3" t="s">
        <v>1268</v>
      </c>
      <c r="BF41" s="3" t="s">
        <v>1269</v>
      </c>
      <c r="BG41" s="3" t="s">
        <v>1269</v>
      </c>
      <c r="BH41" s="3" t="s">
        <v>1269</v>
      </c>
      <c r="BI41" s="3" t="s">
        <v>1269</v>
      </c>
      <c r="BJ41" s="3" t="s">
        <v>1269</v>
      </c>
      <c r="BK41" s="3" t="s">
        <v>1270</v>
      </c>
      <c r="BT41" s="3" t="s">
        <v>1270</v>
      </c>
      <c r="CD41" s="3" t="s">
        <v>1271</v>
      </c>
      <c r="CG41" s="3" t="s">
        <v>1270</v>
      </c>
      <c r="CH41" s="3" t="s">
        <v>1270</v>
      </c>
      <c r="CM41" s="3" t="s">
        <v>1270</v>
      </c>
      <c r="CN41" s="3" t="s">
        <v>1270</v>
      </c>
      <c r="CP41" s="3" t="s">
        <v>1270</v>
      </c>
    </row>
    <row r="42" spans="1:94" x14ac:dyDescent="0.35">
      <c r="A42" s="3" t="s">
        <v>319</v>
      </c>
      <c r="B42" s="3">
        <f t="shared" si="1"/>
        <v>2015</v>
      </c>
      <c r="C42" s="3" t="s">
        <v>1272</v>
      </c>
      <c r="F42" s="3" t="s">
        <v>1273</v>
      </c>
      <c r="G42" s="3" t="s">
        <v>1273</v>
      </c>
      <c r="I42" s="3" t="s">
        <v>1273</v>
      </c>
      <c r="J42" s="3" t="s">
        <v>1273</v>
      </c>
      <c r="L42" s="3" t="s">
        <v>1274</v>
      </c>
      <c r="M42" s="3" t="s">
        <v>1274</v>
      </c>
      <c r="R42" s="3" t="s">
        <v>1273</v>
      </c>
      <c r="S42" s="3" t="s">
        <v>1275</v>
      </c>
      <c r="T42" s="3" t="s">
        <v>1276</v>
      </c>
      <c r="W42" s="3" t="s">
        <v>1276</v>
      </c>
      <c r="X42" s="3" t="s">
        <v>1277</v>
      </c>
      <c r="Z42" s="3" t="s">
        <v>1277</v>
      </c>
      <c r="AB42" s="3" t="s">
        <v>1277</v>
      </c>
      <c r="AF42" s="3" t="s">
        <v>1278</v>
      </c>
      <c r="AH42" s="3" t="s">
        <v>545</v>
      </c>
      <c r="AJ42" s="3" t="s">
        <v>1279</v>
      </c>
      <c r="AK42" s="3" t="s">
        <v>1279</v>
      </c>
      <c r="AL42" s="3" t="s">
        <v>1279</v>
      </c>
      <c r="AM42" s="3" t="s">
        <v>1280</v>
      </c>
      <c r="AP42" s="3" t="s">
        <v>1281</v>
      </c>
      <c r="AQ42" s="3" t="s">
        <v>1281</v>
      </c>
      <c r="AS42" s="3" t="s">
        <v>1281</v>
      </c>
      <c r="AU42" s="3" t="s">
        <v>1282</v>
      </c>
      <c r="AV42" s="3" t="s">
        <v>1283</v>
      </c>
      <c r="AW42" s="3" t="s">
        <v>1282</v>
      </c>
      <c r="AX42" s="3" t="s">
        <v>550</v>
      </c>
      <c r="AZ42" s="3" t="s">
        <v>1279</v>
      </c>
      <c r="BD42" s="3" t="s">
        <v>1274</v>
      </c>
      <c r="BE42" s="3" t="s">
        <v>1284</v>
      </c>
      <c r="BF42" s="3" t="s">
        <v>1285</v>
      </c>
      <c r="BG42" s="3" t="s">
        <v>1285</v>
      </c>
      <c r="BH42" s="3" t="s">
        <v>1285</v>
      </c>
      <c r="BI42" s="3" t="s">
        <v>1285</v>
      </c>
      <c r="BJ42" s="3" t="s">
        <v>1285</v>
      </c>
      <c r="BK42" s="3" t="s">
        <v>1286</v>
      </c>
      <c r="BT42" s="3" t="s">
        <v>1286</v>
      </c>
      <c r="CD42" s="3" t="s">
        <v>1287</v>
      </c>
      <c r="CG42" s="3" t="s">
        <v>1286</v>
      </c>
      <c r="CH42" s="3" t="s">
        <v>1286</v>
      </c>
      <c r="CM42" s="3" t="s">
        <v>1286</v>
      </c>
      <c r="CN42" s="3" t="s">
        <v>1286</v>
      </c>
      <c r="CP42" s="3" t="s">
        <v>1286</v>
      </c>
    </row>
    <row r="43" spans="1:94" x14ac:dyDescent="0.35">
      <c r="A43" s="3" t="s">
        <v>319</v>
      </c>
      <c r="B43" s="3">
        <f t="shared" si="1"/>
        <v>2016</v>
      </c>
      <c r="F43" s="3" t="s">
        <v>1288</v>
      </c>
      <c r="G43" s="3" t="s">
        <v>1288</v>
      </c>
      <c r="I43" s="3" t="s">
        <v>1288</v>
      </c>
      <c r="J43" s="3" t="s">
        <v>1288</v>
      </c>
      <c r="L43" s="3" t="s">
        <v>1289</v>
      </c>
      <c r="M43" s="3" t="s">
        <v>1289</v>
      </c>
      <c r="R43" s="3" t="s">
        <v>1288</v>
      </c>
      <c r="S43" s="3" t="s">
        <v>1290</v>
      </c>
      <c r="T43" s="3" t="s">
        <v>1291</v>
      </c>
      <c r="W43" s="3" t="s">
        <v>1291</v>
      </c>
      <c r="X43" s="3" t="s">
        <v>1292</v>
      </c>
      <c r="Z43" s="3" t="s">
        <v>1292</v>
      </c>
      <c r="AB43" s="3" t="s">
        <v>1292</v>
      </c>
      <c r="AF43" s="3" t="s">
        <v>1293</v>
      </c>
      <c r="AH43" s="3" t="s">
        <v>546</v>
      </c>
      <c r="AJ43" s="3" t="s">
        <v>1294</v>
      </c>
      <c r="AK43" s="3" t="s">
        <v>1294</v>
      </c>
      <c r="AL43" s="3" t="s">
        <v>1294</v>
      </c>
      <c r="AM43" s="3" t="s">
        <v>1295</v>
      </c>
      <c r="AP43" s="3" t="s">
        <v>1296</v>
      </c>
      <c r="AQ43" s="3" t="s">
        <v>1296</v>
      </c>
      <c r="AS43" s="3" t="s">
        <v>1296</v>
      </c>
      <c r="AU43" s="3" t="s">
        <v>1297</v>
      </c>
      <c r="AV43" s="3" t="s">
        <v>1298</v>
      </c>
      <c r="AW43" s="3" t="s">
        <v>1297</v>
      </c>
      <c r="AX43" s="3" t="s">
        <v>551</v>
      </c>
      <c r="AZ43" s="3" t="s">
        <v>1294</v>
      </c>
      <c r="BD43" s="3" t="s">
        <v>1289</v>
      </c>
      <c r="BE43" s="3" t="s">
        <v>1299</v>
      </c>
      <c r="BF43" s="3" t="s">
        <v>1300</v>
      </c>
      <c r="BG43" s="3" t="s">
        <v>1300</v>
      </c>
      <c r="BH43" s="3" t="s">
        <v>1300</v>
      </c>
      <c r="BI43" s="3" t="s">
        <v>1300</v>
      </c>
      <c r="BJ43" s="3" t="s">
        <v>1300</v>
      </c>
      <c r="BK43" s="3" t="s">
        <v>1301</v>
      </c>
      <c r="BT43" s="3" t="s">
        <v>1301</v>
      </c>
      <c r="CD43" s="3" t="s">
        <v>1302</v>
      </c>
      <c r="CG43" s="3" t="s">
        <v>1301</v>
      </c>
      <c r="CH43" s="3" t="s">
        <v>1301</v>
      </c>
      <c r="CM43" s="3" t="s">
        <v>1301</v>
      </c>
      <c r="CN43" s="3" t="s">
        <v>1301</v>
      </c>
      <c r="CP43" s="3" t="s">
        <v>1301</v>
      </c>
    </row>
    <row r="44" spans="1:94" x14ac:dyDescent="0.35">
      <c r="A44" s="3" t="s">
        <v>319</v>
      </c>
      <c r="B44" s="3">
        <f t="shared" si="1"/>
        <v>2017</v>
      </c>
      <c r="C44" s="3" t="s">
        <v>1303</v>
      </c>
      <c r="F44" s="3" t="s">
        <v>1304</v>
      </c>
      <c r="G44" s="3" t="s">
        <v>1304</v>
      </c>
      <c r="I44" s="3" t="s">
        <v>1304</v>
      </c>
      <c r="J44" s="3" t="s">
        <v>1304</v>
      </c>
      <c r="L44" s="3" t="s">
        <v>1305</v>
      </c>
      <c r="M44" s="3" t="s">
        <v>1305</v>
      </c>
      <c r="R44" s="3" t="s">
        <v>1304</v>
      </c>
      <c r="S44" s="3" t="s">
        <v>1306</v>
      </c>
      <c r="T44" s="3" t="s">
        <v>1307</v>
      </c>
      <c r="W44" s="3" t="s">
        <v>1307</v>
      </c>
      <c r="X44" s="3" t="s">
        <v>1308</v>
      </c>
      <c r="Z44" s="3" t="s">
        <v>1308</v>
      </c>
      <c r="AB44" s="3" t="s">
        <v>1308</v>
      </c>
      <c r="AF44" s="3" t="s">
        <v>1309</v>
      </c>
      <c r="AH44" s="3" t="s">
        <v>547</v>
      </c>
      <c r="AJ44" s="3" t="s">
        <v>1310</v>
      </c>
      <c r="AK44" s="3" t="s">
        <v>1310</v>
      </c>
      <c r="AL44" s="3" t="s">
        <v>1310</v>
      </c>
      <c r="AM44" s="3" t="s">
        <v>1311</v>
      </c>
      <c r="AP44" s="3" t="s">
        <v>1312</v>
      </c>
      <c r="AQ44" s="3" t="s">
        <v>1312</v>
      </c>
      <c r="AS44" s="3" t="s">
        <v>1312</v>
      </c>
      <c r="AU44" s="3" t="s">
        <v>1313</v>
      </c>
      <c r="AV44" s="3" t="s">
        <v>1314</v>
      </c>
      <c r="AW44" s="3" t="s">
        <v>1313</v>
      </c>
      <c r="AX44" s="3" t="s">
        <v>552</v>
      </c>
      <c r="AZ44" s="3" t="s">
        <v>1310</v>
      </c>
      <c r="BD44" s="3" t="s">
        <v>1305</v>
      </c>
      <c r="BE44" s="3" t="s">
        <v>1315</v>
      </c>
      <c r="BF44" s="3" t="s">
        <v>1316</v>
      </c>
      <c r="BG44" s="3" t="s">
        <v>1316</v>
      </c>
      <c r="BH44" s="3" t="s">
        <v>1316</v>
      </c>
      <c r="BI44" s="3" t="s">
        <v>1316</v>
      </c>
      <c r="BJ44" s="3" t="s">
        <v>1316</v>
      </c>
      <c r="BK44" s="3" t="s">
        <v>1317</v>
      </c>
      <c r="BT44" s="3" t="s">
        <v>1317</v>
      </c>
      <c r="CD44" s="3" t="s">
        <v>1318</v>
      </c>
      <c r="CG44" s="3" t="s">
        <v>1317</v>
      </c>
      <c r="CH44" s="3" t="s">
        <v>1317</v>
      </c>
      <c r="CM44" s="3" t="s">
        <v>1317</v>
      </c>
      <c r="CN44" s="3" t="s">
        <v>1317</v>
      </c>
      <c r="CP44" s="3" t="s">
        <v>1317</v>
      </c>
    </row>
    <row r="45" spans="1:94" x14ac:dyDescent="0.35">
      <c r="A45" s="3" t="s">
        <v>319</v>
      </c>
      <c r="B45" s="3">
        <f t="shared" si="1"/>
        <v>2018</v>
      </c>
      <c r="F45" s="3" t="s">
        <v>1319</v>
      </c>
      <c r="G45" s="3" t="s">
        <v>1319</v>
      </c>
      <c r="I45" s="3" t="s">
        <v>1319</v>
      </c>
      <c r="J45" s="3" t="s">
        <v>1319</v>
      </c>
      <c r="L45" s="3" t="s">
        <v>1320</v>
      </c>
      <c r="M45" s="3" t="s">
        <v>1320</v>
      </c>
      <c r="R45" s="3" t="s">
        <v>1319</v>
      </c>
      <c r="S45" s="3" t="s">
        <v>1321</v>
      </c>
      <c r="T45" s="3" t="s">
        <v>1322</v>
      </c>
      <c r="W45" s="3" t="s">
        <v>1322</v>
      </c>
      <c r="X45" s="3" t="s">
        <v>1323</v>
      </c>
      <c r="Z45" s="3" t="s">
        <v>1323</v>
      </c>
      <c r="AB45" s="3" t="s">
        <v>1323</v>
      </c>
      <c r="AF45" s="3" t="s">
        <v>1324</v>
      </c>
      <c r="AH45" s="3" t="s">
        <v>548</v>
      </c>
      <c r="AJ45" s="3" t="s">
        <v>1325</v>
      </c>
      <c r="AK45" s="3" t="s">
        <v>1325</v>
      </c>
      <c r="AL45" s="3" t="s">
        <v>1325</v>
      </c>
      <c r="AM45" s="3" t="s">
        <v>1326</v>
      </c>
      <c r="AP45" s="3" t="s">
        <v>1327</v>
      </c>
      <c r="AQ45" s="3" t="s">
        <v>1327</v>
      </c>
      <c r="AR45" s="3" t="s">
        <v>1327</v>
      </c>
      <c r="AS45" s="3" t="s">
        <v>1327</v>
      </c>
      <c r="AU45" s="3" t="s">
        <v>1328</v>
      </c>
      <c r="AV45" s="3" t="s">
        <v>1329</v>
      </c>
      <c r="AW45" s="3" t="s">
        <v>1330</v>
      </c>
      <c r="AX45" s="3" t="s">
        <v>553</v>
      </c>
      <c r="AZ45" s="3" t="s">
        <v>1325</v>
      </c>
      <c r="BD45" s="3" t="s">
        <v>1320</v>
      </c>
      <c r="BE45" s="3" t="s">
        <v>1331</v>
      </c>
      <c r="BF45" s="3" t="s">
        <v>1332</v>
      </c>
      <c r="BG45" s="3" t="s">
        <v>1332</v>
      </c>
      <c r="BH45" s="3" t="s">
        <v>1332</v>
      </c>
      <c r="BI45" s="3" t="s">
        <v>1332</v>
      </c>
      <c r="BJ45" s="3" t="s">
        <v>1332</v>
      </c>
      <c r="BK45" s="3" t="s">
        <v>1333</v>
      </c>
      <c r="BT45" s="3" t="s">
        <v>1333</v>
      </c>
      <c r="CD45" s="3" t="s">
        <v>1334</v>
      </c>
      <c r="CG45" s="3" t="s">
        <v>1333</v>
      </c>
      <c r="CH45" s="3" t="s">
        <v>1333</v>
      </c>
      <c r="CM45" s="3" t="s">
        <v>1333</v>
      </c>
      <c r="CN45" s="3" t="s">
        <v>1333</v>
      </c>
      <c r="CP45" s="3" t="s">
        <v>1333</v>
      </c>
    </row>
    <row r="46" spans="1:94" x14ac:dyDescent="0.35">
      <c r="A46" s="3" t="s">
        <v>319</v>
      </c>
      <c r="B46" s="3">
        <v>2019</v>
      </c>
      <c r="C46" s="3" t="s">
        <v>1335</v>
      </c>
      <c r="F46" s="3" t="s">
        <v>1336</v>
      </c>
      <c r="G46" s="3" t="s">
        <v>1336</v>
      </c>
      <c r="I46" s="3" t="s">
        <v>1336</v>
      </c>
      <c r="J46" s="3" t="s">
        <v>1336</v>
      </c>
      <c r="L46" s="3" t="s">
        <v>1337</v>
      </c>
      <c r="M46" s="3" t="s">
        <v>1337</v>
      </c>
      <c r="R46" s="3" t="s">
        <v>1336</v>
      </c>
      <c r="S46" s="3" t="s">
        <v>1338</v>
      </c>
      <c r="T46" s="3" t="s">
        <v>1339</v>
      </c>
      <c r="W46" s="3" t="s">
        <v>1339</v>
      </c>
      <c r="X46" s="3" t="s">
        <v>1340</v>
      </c>
      <c r="Z46" s="3" t="s">
        <v>1340</v>
      </c>
      <c r="AB46" s="3" t="s">
        <v>1340</v>
      </c>
      <c r="AF46" s="3" t="s">
        <v>1341</v>
      </c>
      <c r="AH46" s="3" t="s">
        <v>871</v>
      </c>
      <c r="AJ46" s="3" t="s">
        <v>1342</v>
      </c>
      <c r="AK46" s="3" t="s">
        <v>1342</v>
      </c>
      <c r="AL46" s="3" t="s">
        <v>1342</v>
      </c>
      <c r="AM46" s="3" t="s">
        <v>1343</v>
      </c>
      <c r="AP46" s="3" t="s">
        <v>1344</v>
      </c>
      <c r="AQ46" s="3" t="s">
        <v>1344</v>
      </c>
      <c r="AR46" s="3" t="s">
        <v>1344</v>
      </c>
      <c r="AS46" s="3" t="s">
        <v>1344</v>
      </c>
      <c r="AU46" s="3" t="s">
        <v>1345</v>
      </c>
      <c r="AV46" s="3" t="s">
        <v>1346</v>
      </c>
      <c r="AW46" s="3" t="s">
        <v>1347</v>
      </c>
      <c r="AX46" s="3" t="s">
        <v>394</v>
      </c>
      <c r="AZ46" s="3" t="s">
        <v>1342</v>
      </c>
      <c r="BD46" s="3" t="s">
        <v>1337</v>
      </c>
      <c r="BE46" s="3" t="s">
        <v>1348</v>
      </c>
      <c r="BF46" s="3" t="s">
        <v>1349</v>
      </c>
      <c r="BG46" s="3" t="s">
        <v>1349</v>
      </c>
      <c r="BH46" s="3" t="s">
        <v>1349</v>
      </c>
      <c r="BI46" s="3" t="s">
        <v>1349</v>
      </c>
      <c r="BJ46" s="3" t="s">
        <v>1349</v>
      </c>
      <c r="BK46" s="3" t="s">
        <v>1350</v>
      </c>
      <c r="BT46" s="3" t="s">
        <v>1350</v>
      </c>
      <c r="CD46" s="3" t="s">
        <v>1351</v>
      </c>
      <c r="CG46" s="3" t="s">
        <v>1350</v>
      </c>
      <c r="CH46" s="3" t="s">
        <v>1350</v>
      </c>
      <c r="CM46" s="3" t="s">
        <v>1350</v>
      </c>
      <c r="CN46" s="3" t="s">
        <v>1350</v>
      </c>
      <c r="CP46" s="3" t="s">
        <v>1350</v>
      </c>
    </row>
    <row r="47" spans="1:94" x14ac:dyDescent="0.35">
      <c r="A47" s="3" t="s">
        <v>319</v>
      </c>
      <c r="B47" s="3">
        <v>2020</v>
      </c>
      <c r="F47" s="3" t="s">
        <v>1363</v>
      </c>
      <c r="G47" s="3" t="s">
        <v>1363</v>
      </c>
      <c r="I47" s="3" t="s">
        <v>1363</v>
      </c>
      <c r="J47" s="3" t="s">
        <v>1363</v>
      </c>
      <c r="L47" s="3" t="s">
        <v>873</v>
      </c>
      <c r="M47" s="3" t="s">
        <v>873</v>
      </c>
      <c r="R47" s="3" t="s">
        <v>1363</v>
      </c>
      <c r="S47" s="3" t="s">
        <v>1364</v>
      </c>
      <c r="T47" s="3" t="s">
        <v>1365</v>
      </c>
      <c r="W47" s="3" t="s">
        <v>1365</v>
      </c>
      <c r="X47" s="3" t="s">
        <v>1366</v>
      </c>
      <c r="Z47" s="3" t="s">
        <v>1366</v>
      </c>
      <c r="AB47" s="3" t="s">
        <v>1366</v>
      </c>
      <c r="AF47" s="3" t="s">
        <v>1367</v>
      </c>
      <c r="AH47" s="3" t="s">
        <v>1368</v>
      </c>
      <c r="AJ47" s="3" t="s">
        <v>1369</v>
      </c>
      <c r="AK47" s="3" t="s">
        <v>1369</v>
      </c>
      <c r="AL47" s="3" t="s">
        <v>1369</v>
      </c>
      <c r="AM47" s="3" t="s">
        <v>1370</v>
      </c>
      <c r="AP47" s="3" t="s">
        <v>1371</v>
      </c>
      <c r="AQ47" s="3" t="s">
        <v>1371</v>
      </c>
      <c r="AR47" s="3" t="s">
        <v>1371</v>
      </c>
      <c r="AS47" s="3" t="s">
        <v>1371</v>
      </c>
      <c r="AU47" s="3" t="s">
        <v>1372</v>
      </c>
      <c r="AV47" s="3" t="s">
        <v>1373</v>
      </c>
      <c r="AW47" s="3" t="s">
        <v>1374</v>
      </c>
      <c r="AX47" s="3" t="s">
        <v>1369</v>
      </c>
      <c r="AZ47" s="3" t="s">
        <v>1369</v>
      </c>
      <c r="BD47" s="3" t="s">
        <v>1375</v>
      </c>
      <c r="BE47" s="3" t="s">
        <v>1376</v>
      </c>
      <c r="BF47" s="3" t="s">
        <v>890</v>
      </c>
      <c r="BG47" s="3" t="s">
        <v>890</v>
      </c>
      <c r="BH47" s="3" t="s">
        <v>890</v>
      </c>
      <c r="BI47" s="3" t="s">
        <v>890</v>
      </c>
      <c r="BJ47" s="3" t="s">
        <v>890</v>
      </c>
      <c r="BK47" s="3" t="s">
        <v>1377</v>
      </c>
      <c r="BT47" s="3" t="s">
        <v>1377</v>
      </c>
      <c r="CD47" s="3" t="s">
        <v>1378</v>
      </c>
      <c r="CG47" s="3" t="s">
        <v>1377</v>
      </c>
      <c r="CH47" s="3" t="s">
        <v>1377</v>
      </c>
      <c r="CM47" s="3" t="s">
        <v>1377</v>
      </c>
      <c r="CN47" s="3" t="s">
        <v>1377</v>
      </c>
      <c r="CP47" s="3" t="s">
        <v>1377</v>
      </c>
    </row>
    <row r="48" spans="1:94" x14ac:dyDescent="0.35">
      <c r="A48" s="3" t="s">
        <v>319</v>
      </c>
      <c r="B48" s="3">
        <v>2021</v>
      </c>
      <c r="C48" s="3" t="s">
        <v>1352</v>
      </c>
      <c r="F48" s="3" t="s">
        <v>858</v>
      </c>
      <c r="G48" s="3" t="s">
        <v>858</v>
      </c>
      <c r="I48" s="3" t="s">
        <v>858</v>
      </c>
      <c r="J48" s="3" t="s">
        <v>858</v>
      </c>
      <c r="L48" s="3" t="s">
        <v>865</v>
      </c>
      <c r="M48" s="3" t="s">
        <v>865</v>
      </c>
      <c r="R48" s="3" t="s">
        <v>858</v>
      </c>
      <c r="S48" s="3" t="s">
        <v>1353</v>
      </c>
      <c r="T48" s="3" t="s">
        <v>1354</v>
      </c>
      <c r="W48" s="3" t="s">
        <v>1354</v>
      </c>
      <c r="X48" s="3" t="s">
        <v>1355</v>
      </c>
      <c r="Z48" s="3" t="s">
        <v>1355</v>
      </c>
      <c r="AB48" s="3" t="s">
        <v>1356</v>
      </c>
      <c r="AF48" s="3" t="s">
        <v>1357</v>
      </c>
      <c r="AH48" s="3" t="s">
        <v>872</v>
      </c>
      <c r="AJ48" s="3" t="s">
        <v>859</v>
      </c>
      <c r="AK48" s="3" t="s">
        <v>859</v>
      </c>
      <c r="AL48" s="3" t="s">
        <v>859</v>
      </c>
      <c r="AM48" s="3" t="s">
        <v>860</v>
      </c>
      <c r="AP48" s="3" t="s">
        <v>861</v>
      </c>
      <c r="AQ48" s="3" t="s">
        <v>861</v>
      </c>
      <c r="AR48" s="3" t="s">
        <v>861</v>
      </c>
      <c r="AS48" s="3" t="s">
        <v>861</v>
      </c>
      <c r="AU48" s="3" t="s">
        <v>862</v>
      </c>
      <c r="AV48" s="3" t="s">
        <v>863</v>
      </c>
      <c r="AW48" s="3" t="s">
        <v>864</v>
      </c>
      <c r="AX48" s="3" t="s">
        <v>859</v>
      </c>
      <c r="AZ48" s="3" t="s">
        <v>859</v>
      </c>
      <c r="BD48" s="3" t="s">
        <v>865</v>
      </c>
      <c r="BE48" s="3" t="s">
        <v>866</v>
      </c>
      <c r="BF48" s="3" t="s">
        <v>867</v>
      </c>
      <c r="BG48" s="3" t="s">
        <v>867</v>
      </c>
      <c r="BH48" s="3" t="s">
        <v>867</v>
      </c>
      <c r="BI48" s="3" t="s">
        <v>867</v>
      </c>
      <c r="BJ48" s="3" t="s">
        <v>867</v>
      </c>
      <c r="BK48" s="3" t="s">
        <v>868</v>
      </c>
      <c r="BT48" s="3" t="s">
        <v>868</v>
      </c>
      <c r="CD48" s="3" t="s">
        <v>869</v>
      </c>
      <c r="CG48" s="3" t="s">
        <v>868</v>
      </c>
      <c r="CH48" s="3" t="s">
        <v>868</v>
      </c>
      <c r="CM48" s="3" t="s">
        <v>868</v>
      </c>
      <c r="CN48" s="3" t="s">
        <v>868</v>
      </c>
      <c r="CP48" s="3" t="s">
        <v>868</v>
      </c>
    </row>
    <row r="49" spans="1:94" x14ac:dyDescent="0.35">
      <c r="A49" s="3" t="s">
        <v>319</v>
      </c>
      <c r="B49" s="3">
        <v>2022</v>
      </c>
      <c r="C49" s="3" t="s">
        <v>1358</v>
      </c>
      <c r="F49" s="3" t="s">
        <v>1085</v>
      </c>
      <c r="G49" s="3" t="s">
        <v>1085</v>
      </c>
      <c r="I49" s="3" t="s">
        <v>1085</v>
      </c>
      <c r="J49" s="3" t="s">
        <v>1085</v>
      </c>
      <c r="L49" s="3" t="s">
        <v>1096</v>
      </c>
      <c r="M49" s="3" t="s">
        <v>1096</v>
      </c>
      <c r="R49" s="3" t="s">
        <v>1085</v>
      </c>
      <c r="S49" s="3" t="s">
        <v>1359</v>
      </c>
      <c r="T49" s="3" t="s">
        <v>1360</v>
      </c>
      <c r="W49" s="3" t="s">
        <v>1360</v>
      </c>
      <c r="X49" s="3" t="s">
        <v>1361</v>
      </c>
      <c r="Z49" s="3" t="s">
        <v>1361</v>
      </c>
      <c r="AB49" s="3" t="s">
        <v>1361</v>
      </c>
      <c r="AF49" s="3" t="s">
        <v>1362</v>
      </c>
      <c r="AH49" s="3" t="s">
        <v>1086</v>
      </c>
      <c r="AJ49" s="3" t="s">
        <v>1087</v>
      </c>
      <c r="AK49" s="3" t="s">
        <v>1087</v>
      </c>
      <c r="AL49" s="3" t="s">
        <v>1087</v>
      </c>
      <c r="AM49" s="3" t="s">
        <v>1089</v>
      </c>
      <c r="AP49" s="3" t="s">
        <v>1092</v>
      </c>
      <c r="AQ49" s="3" t="s">
        <v>1092</v>
      </c>
      <c r="AR49" s="3" t="s">
        <v>1092</v>
      </c>
      <c r="AS49" s="3" t="s">
        <v>1092</v>
      </c>
      <c r="AU49" s="3" t="s">
        <v>1093</v>
      </c>
      <c r="AV49" s="3" t="s">
        <v>1094</v>
      </c>
      <c r="AW49" s="3" t="s">
        <v>1095</v>
      </c>
      <c r="AX49" s="3" t="s">
        <v>1087</v>
      </c>
      <c r="AZ49" s="3" t="s">
        <v>1087</v>
      </c>
      <c r="BD49" s="3" t="s">
        <v>1096</v>
      </c>
      <c r="BE49" s="3" t="s">
        <v>1097</v>
      </c>
      <c r="BF49" s="3" t="s">
        <v>1098</v>
      </c>
      <c r="BG49" s="3" t="s">
        <v>1098</v>
      </c>
      <c r="BH49" s="3" t="s">
        <v>1098</v>
      </c>
      <c r="BI49" s="3" t="s">
        <v>1098</v>
      </c>
      <c r="BJ49" s="3" t="s">
        <v>1098</v>
      </c>
      <c r="BK49" s="3" t="s">
        <v>1102</v>
      </c>
      <c r="BT49" s="3" t="s">
        <v>1102</v>
      </c>
      <c r="CD49" s="3" t="s">
        <v>1101</v>
      </c>
      <c r="CG49" s="3" t="s">
        <v>1099</v>
      </c>
      <c r="CH49" s="3" t="s">
        <v>1102</v>
      </c>
      <c r="CM49" s="3" t="s">
        <v>1102</v>
      </c>
      <c r="CN49" s="3" t="s">
        <v>1102</v>
      </c>
      <c r="CP49" s="3" t="s">
        <v>1102</v>
      </c>
    </row>
  </sheetData>
  <mergeCells count="1">
    <mergeCell ref="BL1:CD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zoomScaleSheetLayoutView="98" workbookViewId="0"/>
  </sheetViews>
  <sheetFormatPr defaultColWidth="12.58203125" defaultRowHeight="14.5" x14ac:dyDescent="0.35"/>
  <cols>
    <col min="1" max="1" width="35.25" style="3" bestFit="1" customWidth="1"/>
    <col min="2" max="2" width="7.6640625" style="3" bestFit="1" customWidth="1"/>
    <col min="3" max="5" width="29.9140625" style="3" bestFit="1" customWidth="1"/>
    <col min="6" max="6" width="14.1640625" style="3" bestFit="1" customWidth="1"/>
    <col min="7" max="7" width="30.33203125" style="3" bestFit="1" customWidth="1"/>
    <col min="8" max="11" width="29.9140625" style="3" bestFit="1" customWidth="1"/>
    <col min="12" max="12" width="17.1640625" style="3" bestFit="1" customWidth="1"/>
    <col min="13" max="17" width="33.33203125" style="3" bestFit="1" customWidth="1"/>
    <col min="18" max="18" width="22.58203125" style="3" bestFit="1" customWidth="1"/>
    <col min="19" max="19" width="21.5" style="3" bestFit="1" customWidth="1"/>
    <col min="20" max="20" width="29.9140625" style="3" bestFit="1" customWidth="1"/>
    <col min="21" max="21" width="22" style="3" bestFit="1" customWidth="1"/>
    <col min="22" max="22" width="22.6640625" style="3" bestFit="1" customWidth="1"/>
    <col min="23" max="23" width="21.5" style="3" bestFit="1" customWidth="1"/>
    <col min="24" max="24" width="33.33203125" style="3" bestFit="1" customWidth="1"/>
    <col min="25" max="28" width="29.91406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29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20</v>
      </c>
      <c r="R1" s="1" t="s">
        <v>287</v>
      </c>
      <c r="S1" s="1" t="s">
        <v>288</v>
      </c>
      <c r="T1" s="1" t="s">
        <v>289</v>
      </c>
      <c r="U1" s="1" t="s">
        <v>290</v>
      </c>
      <c r="V1" s="8" t="s">
        <v>178</v>
      </c>
      <c r="W1" s="8" t="s">
        <v>179</v>
      </c>
      <c r="X1" s="1" t="s">
        <v>291</v>
      </c>
      <c r="Y1" s="12" t="s">
        <v>639</v>
      </c>
      <c r="Z1" s="1" t="s">
        <v>292</v>
      </c>
      <c r="AA1" s="1" t="s">
        <v>60</v>
      </c>
      <c r="AB1" s="1" t="s">
        <v>293</v>
      </c>
      <c r="AC1" s="1" t="s">
        <v>294</v>
      </c>
      <c r="AD1" s="13"/>
      <c r="AE1" s="14"/>
    </row>
    <row r="2" spans="1:31" x14ac:dyDescent="0.35">
      <c r="A2" s="2" t="s">
        <v>64</v>
      </c>
      <c r="B2" s="2" t="s">
        <v>65</v>
      </c>
      <c r="C2" s="9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241</v>
      </c>
      <c r="N2" s="2" t="s">
        <v>242</v>
      </c>
      <c r="O2" s="2" t="s">
        <v>243</v>
      </c>
      <c r="P2" s="2" t="s">
        <v>244</v>
      </c>
      <c r="Q2" s="2" t="s">
        <v>245</v>
      </c>
      <c r="R2" s="2" t="s">
        <v>640</v>
      </c>
      <c r="S2" s="13" t="s">
        <v>641</v>
      </c>
      <c r="T2" s="2" t="s">
        <v>301</v>
      </c>
      <c r="U2" s="2" t="s">
        <v>302</v>
      </c>
      <c r="V2" s="10" t="s">
        <v>237</v>
      </c>
      <c r="W2" s="10" t="s">
        <v>238</v>
      </c>
      <c r="X2" s="2" t="s">
        <v>303</v>
      </c>
      <c r="Y2" s="2" t="s">
        <v>304</v>
      </c>
      <c r="Z2" s="2" t="s">
        <v>305</v>
      </c>
      <c r="AA2" s="2" t="s">
        <v>306</v>
      </c>
      <c r="AB2" s="2" t="s">
        <v>307</v>
      </c>
      <c r="AC2" s="2" t="s">
        <v>308</v>
      </c>
      <c r="AD2" s="13"/>
      <c r="AE2" s="13"/>
    </row>
    <row r="3" spans="1:31" x14ac:dyDescent="0.35">
      <c r="A3" s="3" t="s">
        <v>319</v>
      </c>
      <c r="B3" s="3">
        <v>2001</v>
      </c>
      <c r="C3" s="3" t="s">
        <v>321</v>
      </c>
      <c r="D3" s="4">
        <v>681500000</v>
      </c>
      <c r="E3" s="4">
        <f>D3*94.6/100</f>
        <v>644698999.99999988</v>
      </c>
      <c r="F3" s="6">
        <f t="shared" ref="F3:F15" si="0">D3-E3</f>
        <v>36801000.000000119</v>
      </c>
      <c r="G3" s="70" t="s">
        <v>323</v>
      </c>
      <c r="H3" s="7">
        <f t="shared" ref="H3:H15" si="1">E3/D3</f>
        <v>0.94599999999999984</v>
      </c>
      <c r="I3" s="26" t="s">
        <v>309</v>
      </c>
      <c r="J3" s="3" t="s">
        <v>309</v>
      </c>
      <c r="K3" s="3" t="s">
        <v>309</v>
      </c>
      <c r="L3" s="3" t="s">
        <v>309</v>
      </c>
      <c r="M3" s="4">
        <v>39772700000</v>
      </c>
      <c r="N3" s="4">
        <v>45386100000</v>
      </c>
      <c r="O3" s="4">
        <v>5613400000</v>
      </c>
      <c r="P3" s="5">
        <v>0.876</v>
      </c>
      <c r="Q3" s="4">
        <v>6254000000</v>
      </c>
      <c r="R3" s="27" t="s">
        <v>309</v>
      </c>
      <c r="S3" s="7">
        <f t="shared" ref="S3:S15" si="2">D3/Q3</f>
        <v>0.1089702590342181</v>
      </c>
      <c r="T3" s="4">
        <v>37405697881</v>
      </c>
      <c r="U3" s="7">
        <f t="shared" ref="U3:U24" si="3">T3/N3</f>
        <v>0.82416638312170465</v>
      </c>
      <c r="V3" s="5"/>
      <c r="W3" s="5"/>
      <c r="X3" s="4"/>
      <c r="Y3" s="4">
        <f>1568808652+9688541</f>
        <v>1578497193</v>
      </c>
      <c r="Z3" s="4">
        <v>46243701</v>
      </c>
      <c r="AA3" s="4">
        <v>25374819</v>
      </c>
      <c r="AB3" s="4">
        <v>0</v>
      </c>
      <c r="AC3" s="4">
        <v>1650115713</v>
      </c>
      <c r="AD3" s="9"/>
    </row>
    <row r="4" spans="1:31" x14ac:dyDescent="0.35">
      <c r="A4" s="3" t="s">
        <v>319</v>
      </c>
      <c r="B4" s="3">
        <v>2002</v>
      </c>
      <c r="C4" s="3" t="s">
        <v>321</v>
      </c>
      <c r="D4" s="4">
        <v>665900000</v>
      </c>
      <c r="E4" s="4">
        <f>D4*97.4/100</f>
        <v>648586600</v>
      </c>
      <c r="F4" s="6">
        <f t="shared" si="0"/>
        <v>17313400</v>
      </c>
      <c r="G4" s="70" t="s">
        <v>323</v>
      </c>
      <c r="H4" s="7">
        <f t="shared" si="1"/>
        <v>0.97399999999999998</v>
      </c>
      <c r="I4" s="3" t="s">
        <v>309</v>
      </c>
      <c r="J4" s="3" t="s">
        <v>309</v>
      </c>
      <c r="K4" s="3" t="s">
        <v>309</v>
      </c>
      <c r="L4" s="3" t="s">
        <v>309</v>
      </c>
      <c r="M4" s="4">
        <v>35446900000</v>
      </c>
      <c r="N4" s="4">
        <v>38947000000</v>
      </c>
      <c r="O4" s="4">
        <v>3500100000</v>
      </c>
      <c r="P4" s="5">
        <v>0.91</v>
      </c>
      <c r="Q4" s="4">
        <v>6383500000</v>
      </c>
      <c r="R4" s="27" t="s">
        <v>309</v>
      </c>
      <c r="S4" s="7">
        <f t="shared" si="2"/>
        <v>0.1043158142085063</v>
      </c>
      <c r="T4" s="4">
        <v>34633586322</v>
      </c>
      <c r="U4" s="7">
        <f t="shared" si="3"/>
        <v>0.88924914170539449</v>
      </c>
      <c r="V4" s="5"/>
      <c r="W4" s="5"/>
      <c r="X4" s="4"/>
      <c r="Y4" s="4">
        <f>1677951252+10121636</f>
        <v>1688072888</v>
      </c>
      <c r="Z4" s="4">
        <v>46086912</v>
      </c>
      <c r="AA4" s="4">
        <v>17456752</v>
      </c>
      <c r="AB4" s="4">
        <v>0</v>
      </c>
      <c r="AC4" s="4">
        <v>1751616552</v>
      </c>
    </row>
    <row r="5" spans="1:31" x14ac:dyDescent="0.35">
      <c r="A5" s="3" t="s">
        <v>319</v>
      </c>
      <c r="B5" s="3">
        <v>2003</v>
      </c>
      <c r="C5" s="3" t="s">
        <v>321</v>
      </c>
      <c r="D5" s="4">
        <v>537400000</v>
      </c>
      <c r="E5" s="4">
        <f>D5*99.7%</f>
        <v>535787800</v>
      </c>
      <c r="F5" s="6">
        <f t="shared" si="0"/>
        <v>1612200</v>
      </c>
      <c r="G5" s="70" t="s">
        <v>323</v>
      </c>
      <c r="H5" s="7">
        <f t="shared" si="1"/>
        <v>0.997</v>
      </c>
      <c r="I5" s="3" t="s">
        <v>309</v>
      </c>
      <c r="J5" s="3" t="s">
        <v>309</v>
      </c>
      <c r="K5" s="3" t="s">
        <v>309</v>
      </c>
      <c r="L5" s="3" t="s">
        <v>309</v>
      </c>
      <c r="M5" s="4">
        <v>42753300000</v>
      </c>
      <c r="N5" s="4">
        <v>44078100000</v>
      </c>
      <c r="O5" s="4">
        <v>1324800000</v>
      </c>
      <c r="P5" s="5">
        <v>0.97</v>
      </c>
      <c r="Q5" s="4">
        <v>6248500000</v>
      </c>
      <c r="R5" s="27" t="s">
        <v>309</v>
      </c>
      <c r="S5" s="7">
        <f t="shared" si="2"/>
        <v>8.6004641113867325E-2</v>
      </c>
      <c r="T5" s="4">
        <v>37041242215</v>
      </c>
      <c r="U5" s="7">
        <f t="shared" si="3"/>
        <v>0.84035478423525511</v>
      </c>
      <c r="V5" s="5"/>
      <c r="W5" s="5"/>
      <c r="X5" s="4"/>
      <c r="Y5" s="4">
        <f>1994401530+5922665</f>
        <v>2000324195</v>
      </c>
      <c r="Z5" s="4">
        <v>42640295</v>
      </c>
      <c r="AA5" s="4">
        <v>16784817</v>
      </c>
      <c r="AB5" s="4">
        <v>0</v>
      </c>
      <c r="AC5" s="4">
        <v>2059749307</v>
      </c>
    </row>
    <row r="6" spans="1:31" x14ac:dyDescent="0.35">
      <c r="A6" s="3" t="s">
        <v>319</v>
      </c>
      <c r="B6" s="3">
        <v>2004</v>
      </c>
      <c r="C6" s="3" t="s">
        <v>321</v>
      </c>
      <c r="D6" s="4">
        <v>354000000</v>
      </c>
      <c r="E6" s="4">
        <f>D6*99.7%</f>
        <v>352938000</v>
      </c>
      <c r="F6" s="6">
        <f t="shared" si="0"/>
        <v>1062000</v>
      </c>
      <c r="G6" s="70" t="s">
        <v>323</v>
      </c>
      <c r="H6" s="7">
        <f t="shared" si="1"/>
        <v>0.997</v>
      </c>
      <c r="I6" s="3" t="s">
        <v>309</v>
      </c>
      <c r="J6" s="3" t="s">
        <v>309</v>
      </c>
      <c r="K6" s="3" t="s">
        <v>309</v>
      </c>
      <c r="L6" s="3" t="s">
        <v>309</v>
      </c>
      <c r="M6" s="4">
        <v>45581100000</v>
      </c>
      <c r="N6" s="4">
        <v>47398600000</v>
      </c>
      <c r="O6" s="4">
        <v>1817500000</v>
      </c>
      <c r="P6" s="5">
        <v>0.96199999999999997</v>
      </c>
      <c r="Q6" s="4">
        <v>6772450000</v>
      </c>
      <c r="R6" s="27" t="s">
        <v>309</v>
      </c>
      <c r="S6" s="7">
        <f t="shared" si="2"/>
        <v>5.2270596313003417E-2</v>
      </c>
      <c r="T6" s="4">
        <v>45011387915</v>
      </c>
      <c r="U6" s="7">
        <f t="shared" si="3"/>
        <v>0.9496353882815104</v>
      </c>
      <c r="W6" s="5"/>
      <c r="X6" s="4"/>
      <c r="Y6" s="4">
        <f>2510375912+8610162</f>
        <v>2518986074</v>
      </c>
      <c r="Z6" s="4">
        <v>42193518</v>
      </c>
      <c r="AA6" s="4">
        <v>24874201</v>
      </c>
      <c r="AB6" s="4">
        <v>0</v>
      </c>
      <c r="AC6" s="4">
        <v>2586053793</v>
      </c>
    </row>
    <row r="7" spans="1:31" x14ac:dyDescent="0.35">
      <c r="A7" s="3" t="s">
        <v>319</v>
      </c>
      <c r="B7" s="3">
        <v>2005</v>
      </c>
      <c r="C7" s="3" t="s">
        <v>321</v>
      </c>
      <c r="D7" s="4">
        <v>488500000</v>
      </c>
      <c r="E7" s="4">
        <f>D7*100.8/100</f>
        <v>492408000</v>
      </c>
      <c r="F7" s="6">
        <f t="shared" si="0"/>
        <v>-3908000</v>
      </c>
      <c r="G7" s="70" t="s">
        <v>323</v>
      </c>
      <c r="H7" s="7">
        <f t="shared" si="1"/>
        <v>1.008</v>
      </c>
      <c r="I7" s="3" t="s">
        <v>309</v>
      </c>
      <c r="J7" s="3" t="s">
        <v>309</v>
      </c>
      <c r="K7" s="3" t="s">
        <v>309</v>
      </c>
      <c r="L7" s="3" t="s">
        <v>309</v>
      </c>
      <c r="M7" s="4">
        <v>51382600000</v>
      </c>
      <c r="N7" s="4">
        <v>49294000000</v>
      </c>
      <c r="O7" s="4">
        <v>-2088600000</v>
      </c>
      <c r="P7" s="5">
        <v>1.042</v>
      </c>
      <c r="Q7" s="4">
        <v>6791900000</v>
      </c>
      <c r="R7" s="27" t="s">
        <v>309</v>
      </c>
      <c r="S7" s="7">
        <f t="shared" si="2"/>
        <v>7.192390936262312E-2</v>
      </c>
      <c r="T7" s="4">
        <v>49063421542</v>
      </c>
      <c r="U7" s="7">
        <f t="shared" si="3"/>
        <v>0.99532238288635533</v>
      </c>
      <c r="W7" s="5"/>
      <c r="X7" s="4"/>
      <c r="Y7" s="4">
        <v>2364400988</v>
      </c>
      <c r="Z7" s="4">
        <v>60241863</v>
      </c>
      <c r="AA7" s="4">
        <v>27744201</v>
      </c>
      <c r="AB7" s="4">
        <v>0</v>
      </c>
      <c r="AC7" s="4">
        <v>2452387052</v>
      </c>
    </row>
    <row r="8" spans="1:31" x14ac:dyDescent="0.35">
      <c r="A8" s="3" t="s">
        <v>319</v>
      </c>
      <c r="B8" s="3">
        <v>2006</v>
      </c>
      <c r="C8" s="3" t="s">
        <v>321</v>
      </c>
      <c r="D8" s="4">
        <v>938600000</v>
      </c>
      <c r="E8" s="4">
        <f>D8*55.8%</f>
        <v>523738799.99999994</v>
      </c>
      <c r="F8" s="6">
        <f t="shared" si="0"/>
        <v>414861200.00000006</v>
      </c>
      <c r="G8" s="70" t="s">
        <v>362</v>
      </c>
      <c r="H8" s="7">
        <f t="shared" si="1"/>
        <v>0.55799999999999994</v>
      </c>
      <c r="I8" s="3" t="s">
        <v>309</v>
      </c>
      <c r="J8" s="3" t="s">
        <v>309</v>
      </c>
      <c r="K8" s="3" t="s">
        <v>309</v>
      </c>
      <c r="L8" s="3" t="s">
        <v>309</v>
      </c>
      <c r="M8" s="4">
        <v>56616500000</v>
      </c>
      <c r="N8" s="4">
        <v>51252900000</v>
      </c>
      <c r="O8" s="4">
        <v>-5363500000</v>
      </c>
      <c r="P8" s="5">
        <v>1.105</v>
      </c>
      <c r="Q8" s="4">
        <v>7326800000</v>
      </c>
      <c r="R8" s="27" t="s">
        <v>309</v>
      </c>
      <c r="S8" s="7">
        <f t="shared" si="2"/>
        <v>0.12810503903477644</v>
      </c>
      <c r="T8" s="4">
        <v>54343197104</v>
      </c>
      <c r="U8" s="7">
        <f t="shared" si="3"/>
        <v>1.0602950682595522</v>
      </c>
      <c r="W8" s="5"/>
      <c r="X8" s="4">
        <v>1114100000</v>
      </c>
      <c r="Y8" s="4">
        <v>2371628570</v>
      </c>
      <c r="Z8" s="4">
        <v>33172837</v>
      </c>
      <c r="AA8" s="4">
        <v>27582755</v>
      </c>
      <c r="AB8" s="4">
        <v>0</v>
      </c>
      <c r="AC8" s="4">
        <v>2432384162</v>
      </c>
    </row>
    <row r="9" spans="1:31" x14ac:dyDescent="0.35">
      <c r="A9" s="3" t="s">
        <v>319</v>
      </c>
      <c r="B9" s="3">
        <v>2007</v>
      </c>
      <c r="C9" s="3" t="s">
        <v>434</v>
      </c>
      <c r="D9" s="4">
        <v>805700000</v>
      </c>
      <c r="E9" s="18">
        <f>D9*74/100</f>
        <v>596218000</v>
      </c>
      <c r="F9" s="6">
        <f t="shared" si="0"/>
        <v>209482000</v>
      </c>
      <c r="G9" s="70" t="s">
        <v>362</v>
      </c>
      <c r="H9" s="7">
        <f t="shared" si="1"/>
        <v>0.74</v>
      </c>
      <c r="I9" s="3" t="s">
        <v>309</v>
      </c>
      <c r="J9" s="3" t="s">
        <v>309</v>
      </c>
      <c r="K9" s="3" t="s">
        <v>309</v>
      </c>
      <c r="L9" s="3" t="s">
        <v>309</v>
      </c>
      <c r="M9" s="4">
        <v>59327800000</v>
      </c>
      <c r="N9" s="4">
        <v>52871200000</v>
      </c>
      <c r="O9" s="4">
        <v>-6456700000</v>
      </c>
      <c r="P9" s="5">
        <v>1.1220000000000001</v>
      </c>
      <c r="Q9" s="4">
        <v>7721800000</v>
      </c>
      <c r="R9" s="27" t="s">
        <v>309</v>
      </c>
      <c r="S9" s="7">
        <f t="shared" si="2"/>
        <v>0.10434095677173716</v>
      </c>
      <c r="T9" s="4">
        <v>62891942278</v>
      </c>
      <c r="U9" s="7">
        <f t="shared" si="3"/>
        <v>1.189531205609103</v>
      </c>
      <c r="W9" s="5"/>
      <c r="X9" s="4">
        <v>2373100000</v>
      </c>
      <c r="Y9" s="4">
        <v>2574588942</v>
      </c>
      <c r="Z9" s="4">
        <v>41222535</v>
      </c>
      <c r="AA9" s="4">
        <v>35620392</v>
      </c>
      <c r="AB9" s="4">
        <v>0</v>
      </c>
      <c r="AC9" s="4">
        <v>2651431869</v>
      </c>
    </row>
    <row r="10" spans="1:31" x14ac:dyDescent="0.35">
      <c r="A10" s="3" t="s">
        <v>319</v>
      </c>
      <c r="B10" s="3">
        <v>2008</v>
      </c>
      <c r="C10" s="3" t="s">
        <v>434</v>
      </c>
      <c r="D10" s="4">
        <v>707400000</v>
      </c>
      <c r="E10" s="18">
        <f>D10*100%</f>
        <v>707400000</v>
      </c>
      <c r="F10" s="6">
        <f t="shared" si="0"/>
        <v>0</v>
      </c>
      <c r="G10" s="70" t="s">
        <v>362</v>
      </c>
      <c r="H10" s="7">
        <f t="shared" si="1"/>
        <v>1</v>
      </c>
      <c r="I10" s="3" t="s">
        <v>309</v>
      </c>
      <c r="J10" s="3" t="s">
        <v>309</v>
      </c>
      <c r="K10" s="3" t="s">
        <v>309</v>
      </c>
      <c r="L10" s="3" t="s">
        <v>309</v>
      </c>
      <c r="M10" s="4">
        <v>43520600000</v>
      </c>
      <c r="N10" s="4">
        <v>54259500000</v>
      </c>
      <c r="O10" s="4">
        <v>10738900000</v>
      </c>
      <c r="P10" s="5">
        <v>0.80200000000000005</v>
      </c>
      <c r="Q10" s="4">
        <v>8130100000</v>
      </c>
      <c r="R10" s="27" t="s">
        <v>309</v>
      </c>
      <c r="S10" s="7">
        <f t="shared" si="2"/>
        <v>8.7009999877000282E-2</v>
      </c>
      <c r="T10" s="4">
        <v>58010291731</v>
      </c>
      <c r="U10" s="7">
        <f t="shared" si="3"/>
        <v>1.0691269129092602</v>
      </c>
      <c r="W10" s="5"/>
      <c r="X10" s="4">
        <v>545300000</v>
      </c>
      <c r="Y10" s="4">
        <v>2768305300</v>
      </c>
      <c r="Z10" s="4">
        <v>50660781</v>
      </c>
      <c r="AA10" s="4">
        <v>33050622</v>
      </c>
      <c r="AB10" s="4">
        <v>0</v>
      </c>
      <c r="AC10" s="4">
        <v>2852016703</v>
      </c>
    </row>
    <row r="11" spans="1:31" x14ac:dyDescent="0.35">
      <c r="A11" s="3" t="s">
        <v>319</v>
      </c>
      <c r="B11" s="3">
        <v>2009</v>
      </c>
      <c r="C11" s="3" t="s">
        <v>434</v>
      </c>
      <c r="D11" s="4">
        <v>630800000</v>
      </c>
      <c r="E11" s="4">
        <f>D11*100%</f>
        <v>630800000</v>
      </c>
      <c r="F11" s="6">
        <f t="shared" si="0"/>
        <v>0</v>
      </c>
      <c r="G11" s="70" t="s">
        <v>362</v>
      </c>
      <c r="H11" s="7">
        <f t="shared" si="1"/>
        <v>1</v>
      </c>
      <c r="I11" s="3" t="s">
        <v>309</v>
      </c>
      <c r="J11" s="3" t="s">
        <v>309</v>
      </c>
      <c r="K11" s="3" t="s">
        <v>309</v>
      </c>
      <c r="L11" s="3" t="s">
        <v>309</v>
      </c>
      <c r="M11" s="4">
        <v>48729200000</v>
      </c>
      <c r="N11" s="4">
        <v>56810600000</v>
      </c>
      <c r="O11" s="4">
        <v>8081400000</v>
      </c>
      <c r="P11" s="5">
        <v>0.85799999999999998</v>
      </c>
      <c r="Q11" s="4">
        <v>8512200000.000001</v>
      </c>
      <c r="R11" s="27" t="s">
        <v>309</v>
      </c>
      <c r="S11" s="7">
        <f t="shared" si="2"/>
        <v>7.4105401658795603E-2</v>
      </c>
      <c r="T11" s="4">
        <v>42904809144</v>
      </c>
      <c r="U11" s="7">
        <f t="shared" si="3"/>
        <v>0.75522541821420652</v>
      </c>
      <c r="W11" s="5"/>
      <c r="X11" s="4">
        <v>-15037500000</v>
      </c>
      <c r="Y11" s="4">
        <f>2789305616+912848</f>
        <v>2790218464</v>
      </c>
      <c r="Z11" s="4">
        <v>36548963</v>
      </c>
      <c r="AA11" s="4">
        <v>33653536</v>
      </c>
      <c r="AB11" s="4">
        <v>0</v>
      </c>
      <c r="AC11" s="4">
        <v>2860420963</v>
      </c>
    </row>
    <row r="12" spans="1:31" x14ac:dyDescent="0.35">
      <c r="A12" s="3" t="s">
        <v>319</v>
      </c>
      <c r="B12" s="3">
        <v>2010</v>
      </c>
      <c r="C12" s="3" t="s">
        <v>434</v>
      </c>
      <c r="D12" s="4">
        <v>472400000</v>
      </c>
      <c r="E12" s="4">
        <f>D12*100%</f>
        <v>472400000</v>
      </c>
      <c r="F12" s="6">
        <f t="shared" si="0"/>
        <v>0</v>
      </c>
      <c r="G12" s="70" t="s">
        <v>362</v>
      </c>
      <c r="H12" s="7">
        <f t="shared" si="1"/>
        <v>1</v>
      </c>
      <c r="I12" s="3" t="s">
        <v>309</v>
      </c>
      <c r="J12" s="3" t="s">
        <v>309</v>
      </c>
      <c r="K12" s="3" t="s">
        <v>309</v>
      </c>
      <c r="L12" s="3" t="s">
        <v>309</v>
      </c>
      <c r="M12" s="4">
        <v>51583600000</v>
      </c>
      <c r="N12" s="4">
        <v>59329500000</v>
      </c>
      <c r="O12" s="4">
        <v>7746000000</v>
      </c>
      <c r="P12" s="5">
        <v>0.86899999999999999</v>
      </c>
      <c r="Q12" s="4">
        <v>8750100000</v>
      </c>
      <c r="R12" s="27" t="s">
        <v>309</v>
      </c>
      <c r="S12" s="7">
        <f t="shared" si="2"/>
        <v>5.3987954423378018E-2</v>
      </c>
      <c r="T12" s="4">
        <v>47685014587</v>
      </c>
      <c r="U12" s="7">
        <f t="shared" si="3"/>
        <v>0.80373194763144806</v>
      </c>
      <c r="W12" s="5"/>
      <c r="X12" s="4">
        <v>3119500000</v>
      </c>
      <c r="Y12" s="4">
        <f>2912153841+3414960</f>
        <v>2915568801</v>
      </c>
      <c r="Z12" s="4">
        <v>25692404</v>
      </c>
      <c r="AA12" s="4">
        <v>28512343</v>
      </c>
      <c r="AB12" s="4">
        <v>0</v>
      </c>
      <c r="AC12" s="4">
        <v>2969773548</v>
      </c>
    </row>
    <row r="13" spans="1:31" x14ac:dyDescent="0.35">
      <c r="A13" s="3" t="s">
        <v>319</v>
      </c>
      <c r="B13" s="3">
        <v>2011</v>
      </c>
      <c r="C13" s="3" t="s">
        <v>434</v>
      </c>
      <c r="D13" s="4">
        <v>779100000</v>
      </c>
      <c r="E13" s="4">
        <f>D13*83%</f>
        <v>646653000</v>
      </c>
      <c r="F13" s="6">
        <f t="shared" si="0"/>
        <v>132447000</v>
      </c>
      <c r="G13" s="70" t="s">
        <v>362</v>
      </c>
      <c r="H13" s="7">
        <f t="shared" si="1"/>
        <v>0.83</v>
      </c>
      <c r="I13" s="3" t="s">
        <v>309</v>
      </c>
      <c r="J13" s="3" t="s">
        <v>309</v>
      </c>
      <c r="K13" s="3" t="s">
        <v>309</v>
      </c>
      <c r="L13" s="3" t="s">
        <v>309</v>
      </c>
      <c r="M13" s="4">
        <v>50168200000</v>
      </c>
      <c r="N13" s="4">
        <v>61198400000</v>
      </c>
      <c r="O13" s="4">
        <v>11030200000</v>
      </c>
      <c r="P13" s="5">
        <v>0.82</v>
      </c>
      <c r="Q13" s="4">
        <v>8550500000</v>
      </c>
      <c r="R13" s="27" t="s">
        <v>309</v>
      </c>
      <c r="S13" s="7">
        <f t="shared" si="2"/>
        <v>9.111747851002866E-2</v>
      </c>
      <c r="T13" s="4">
        <v>55794848695</v>
      </c>
      <c r="U13" s="7">
        <f t="shared" si="3"/>
        <v>0.91170436964038271</v>
      </c>
      <c r="W13" s="5"/>
      <c r="X13" s="4">
        <v>1253100000</v>
      </c>
      <c r="Y13" s="4">
        <f>3196331902+7606867</f>
        <v>3203938769</v>
      </c>
      <c r="Z13" s="4">
        <v>26487226</v>
      </c>
      <c r="AA13" s="4">
        <v>29256747</v>
      </c>
      <c r="AB13" s="4">
        <v>0</v>
      </c>
      <c r="AC13" s="4">
        <v>3259682742</v>
      </c>
    </row>
    <row r="14" spans="1:31" x14ac:dyDescent="0.35">
      <c r="A14" s="3" t="s">
        <v>319</v>
      </c>
      <c r="B14" s="3">
        <v>2012</v>
      </c>
      <c r="C14" s="3" t="s">
        <v>434</v>
      </c>
      <c r="D14" s="4">
        <v>1239400000</v>
      </c>
      <c r="E14" s="4">
        <f>D14*72%</f>
        <v>892368000</v>
      </c>
      <c r="F14" s="6">
        <f t="shared" si="0"/>
        <v>347032000</v>
      </c>
      <c r="G14" s="70" t="s">
        <v>362</v>
      </c>
      <c r="H14" s="7">
        <f t="shared" si="1"/>
        <v>0.72</v>
      </c>
      <c r="I14" s="3" t="s">
        <v>309</v>
      </c>
      <c r="J14" s="3" t="s">
        <v>309</v>
      </c>
      <c r="K14" s="3" t="s">
        <v>309</v>
      </c>
      <c r="L14" s="3" t="s">
        <v>309</v>
      </c>
      <c r="M14" s="4">
        <v>54784100000</v>
      </c>
      <c r="N14" s="4">
        <v>60405200000</v>
      </c>
      <c r="O14" s="4">
        <v>5621100000</v>
      </c>
      <c r="P14" s="5">
        <v>0.90700000000000003</v>
      </c>
      <c r="Q14" s="4">
        <v>8590900000</v>
      </c>
      <c r="R14" s="27" t="s">
        <v>309</v>
      </c>
      <c r="S14" s="7">
        <f t="shared" si="2"/>
        <v>0.14426893573432353</v>
      </c>
      <c r="T14" s="4">
        <v>53659423570</v>
      </c>
      <c r="U14" s="7">
        <f t="shared" si="3"/>
        <v>0.88832457420884292</v>
      </c>
      <c r="W14" s="5"/>
      <c r="X14" s="4">
        <v>-2169600000</v>
      </c>
      <c r="Y14" s="4">
        <f>3291791650+3918168</f>
        <v>3295709818</v>
      </c>
      <c r="Z14" s="4">
        <v>34020450</v>
      </c>
      <c r="AA14" s="4">
        <v>33102667</v>
      </c>
      <c r="AB14" s="4">
        <v>0</v>
      </c>
      <c r="AC14" s="4">
        <v>3362832935</v>
      </c>
    </row>
    <row r="15" spans="1:31" x14ac:dyDescent="0.35">
      <c r="A15" s="3" t="s">
        <v>319</v>
      </c>
      <c r="B15" s="3">
        <v>2013</v>
      </c>
      <c r="C15" s="3" t="s">
        <v>434</v>
      </c>
      <c r="D15" s="4">
        <v>781015000</v>
      </c>
      <c r="E15" s="4">
        <f>D15*100%</f>
        <v>781015000</v>
      </c>
      <c r="F15" s="6">
        <f t="shared" si="0"/>
        <v>0</v>
      </c>
      <c r="G15" s="70" t="s">
        <v>323</v>
      </c>
      <c r="H15" s="7">
        <f t="shared" si="1"/>
        <v>1</v>
      </c>
      <c r="I15" s="3" t="s">
        <v>309</v>
      </c>
      <c r="J15" s="3" t="s">
        <v>309</v>
      </c>
      <c r="K15" s="3" t="s">
        <v>309</v>
      </c>
      <c r="L15" s="3" t="s">
        <v>309</v>
      </c>
      <c r="M15" s="4">
        <v>60014100000</v>
      </c>
      <c r="N15" s="4">
        <v>62593600000</v>
      </c>
      <c r="O15" s="4">
        <v>2579500000</v>
      </c>
      <c r="P15" s="5">
        <v>0.95899999999999996</v>
      </c>
      <c r="Q15" s="4">
        <v>8671800000</v>
      </c>
      <c r="R15" s="27" t="s">
        <v>309</v>
      </c>
      <c r="S15" s="7">
        <f t="shared" si="2"/>
        <v>9.0063769920893003E-2</v>
      </c>
      <c r="T15" s="4">
        <v>58478913732</v>
      </c>
      <c r="U15" s="7">
        <f t="shared" si="3"/>
        <v>0.93426346674420391</v>
      </c>
      <c r="W15" s="5"/>
      <c r="X15" s="4">
        <v>3042500000</v>
      </c>
      <c r="Y15" s="4">
        <f>3551477222+4582777</f>
        <v>3556059999</v>
      </c>
      <c r="Z15" s="4">
        <v>17439568</v>
      </c>
      <c r="AA15" s="4">
        <v>33505928</v>
      </c>
      <c r="AB15" s="4">
        <v>0</v>
      </c>
      <c r="AC15" s="4">
        <v>3607005495</v>
      </c>
    </row>
    <row r="16" spans="1:31" x14ac:dyDescent="0.35">
      <c r="A16" s="3" t="s">
        <v>319</v>
      </c>
      <c r="B16" s="3">
        <v>2014</v>
      </c>
      <c r="C16" s="3" t="s">
        <v>434</v>
      </c>
      <c r="D16" s="26" t="s">
        <v>309</v>
      </c>
      <c r="E16" s="3" t="s">
        <v>309</v>
      </c>
      <c r="F16" s="3" t="s">
        <v>309</v>
      </c>
      <c r="G16" s="70" t="s">
        <v>362</v>
      </c>
      <c r="H16" s="26" t="s">
        <v>309</v>
      </c>
      <c r="I16" s="4">
        <v>866635000</v>
      </c>
      <c r="J16" s="4">
        <v>866635000</v>
      </c>
      <c r="K16" s="6">
        <f t="shared" ref="K16:K21" si="4">I16-J16</f>
        <v>0</v>
      </c>
      <c r="L16" s="7">
        <f t="shared" ref="L16:L21" si="5">J16/I16</f>
        <v>1</v>
      </c>
      <c r="M16" s="4">
        <v>61395200000</v>
      </c>
      <c r="N16" s="4">
        <v>73458900000</v>
      </c>
      <c r="O16" s="4">
        <v>12063700000</v>
      </c>
      <c r="P16" s="5">
        <v>0.83599999999999997</v>
      </c>
      <c r="Q16" s="4">
        <v>9115800000</v>
      </c>
      <c r="R16" s="7">
        <f t="shared" ref="R16:R24" si="6">I16/Q16</f>
        <v>9.5069549573268394E-2</v>
      </c>
      <c r="S16" s="26" t="s">
        <v>309</v>
      </c>
      <c r="T16" s="4">
        <v>65401492664</v>
      </c>
      <c r="U16" s="7">
        <f t="shared" si="3"/>
        <v>0.89031407581654498</v>
      </c>
      <c r="W16" s="5"/>
      <c r="X16" s="4">
        <v>3177800000</v>
      </c>
      <c r="Y16" s="4">
        <f>3832067614+5802797</f>
        <v>3837870411</v>
      </c>
      <c r="Z16" s="4">
        <v>25560094</v>
      </c>
      <c r="AA16" s="4">
        <v>31247350</v>
      </c>
      <c r="AB16" s="4">
        <v>0</v>
      </c>
      <c r="AC16" s="4">
        <v>3894677855</v>
      </c>
    </row>
    <row r="17" spans="1:29" x14ac:dyDescent="0.35">
      <c r="A17" s="3" t="s">
        <v>319</v>
      </c>
      <c r="B17" s="3">
        <v>2015</v>
      </c>
      <c r="C17" s="3" t="s">
        <v>434</v>
      </c>
      <c r="D17" s="3" t="s">
        <v>309</v>
      </c>
      <c r="E17" s="3" t="s">
        <v>309</v>
      </c>
      <c r="F17" s="3" t="s">
        <v>309</v>
      </c>
      <c r="G17" s="70" t="s">
        <v>323</v>
      </c>
      <c r="H17" s="26" t="s">
        <v>309</v>
      </c>
      <c r="I17" s="4">
        <v>909912000</v>
      </c>
      <c r="J17" s="4">
        <v>909912000</v>
      </c>
      <c r="K17" s="6">
        <f t="shared" si="4"/>
        <v>0</v>
      </c>
      <c r="L17" s="7">
        <f t="shared" si="5"/>
        <v>1</v>
      </c>
      <c r="M17" s="4">
        <v>60000100000</v>
      </c>
      <c r="N17" s="4">
        <v>76196600000</v>
      </c>
      <c r="O17" s="4">
        <v>16196500000</v>
      </c>
      <c r="P17" s="5">
        <v>0.78700000000000003</v>
      </c>
      <c r="Q17" s="4">
        <v>9544100000</v>
      </c>
      <c r="R17" s="7">
        <f t="shared" si="6"/>
        <v>9.5337643151266221E-2</v>
      </c>
      <c r="S17" s="26" t="s">
        <v>309</v>
      </c>
      <c r="T17" s="4">
        <v>64923626094</v>
      </c>
      <c r="U17" s="7">
        <f t="shared" si="3"/>
        <v>0.85205410863476849</v>
      </c>
      <c r="W17" s="5"/>
      <c r="X17" s="4">
        <v>-350800000</v>
      </c>
      <c r="Y17" s="4">
        <f>3921122852+6044180</f>
        <v>3927167032</v>
      </c>
      <c r="Z17" s="4">
        <v>16481215</v>
      </c>
      <c r="AA17" s="4">
        <v>35739837</v>
      </c>
      <c r="AB17" s="4">
        <v>0</v>
      </c>
      <c r="AC17" s="4">
        <v>3979388084</v>
      </c>
    </row>
    <row r="18" spans="1:29" x14ac:dyDescent="0.35">
      <c r="A18" s="3" t="s">
        <v>319</v>
      </c>
      <c r="B18" s="3">
        <v>2016</v>
      </c>
      <c r="C18" s="3" t="s">
        <v>434</v>
      </c>
      <c r="D18" s="3" t="s">
        <v>309</v>
      </c>
      <c r="E18" s="3" t="s">
        <v>309</v>
      </c>
      <c r="F18" s="3" t="s">
        <v>309</v>
      </c>
      <c r="G18" s="70" t="s">
        <v>323</v>
      </c>
      <c r="H18" s="26" t="s">
        <v>309</v>
      </c>
      <c r="I18" s="4">
        <v>941321000</v>
      </c>
      <c r="J18" s="4">
        <v>941321000</v>
      </c>
      <c r="K18" s="6">
        <f t="shared" si="4"/>
        <v>0</v>
      </c>
      <c r="L18" s="7">
        <f t="shared" si="5"/>
        <v>1</v>
      </c>
      <c r="M18" s="4">
        <v>61059000000</v>
      </c>
      <c r="N18" s="4">
        <v>80970300000</v>
      </c>
      <c r="O18" s="4">
        <v>19911200000</v>
      </c>
      <c r="P18" s="5">
        <v>0.754</v>
      </c>
      <c r="Q18" s="4">
        <v>9872600000</v>
      </c>
      <c r="R18" s="7">
        <f t="shared" si="6"/>
        <v>9.5346818467273053E-2</v>
      </c>
      <c r="S18" s="26" t="s">
        <v>309</v>
      </c>
      <c r="T18" s="4">
        <v>62082059102</v>
      </c>
      <c r="U18" s="7">
        <f t="shared" si="3"/>
        <v>0.76672630707802736</v>
      </c>
      <c r="W18" s="5"/>
      <c r="X18" s="4">
        <v>62900000</v>
      </c>
      <c r="Y18" s="4">
        <f>4183382566+9925146</f>
        <v>4193307712</v>
      </c>
      <c r="Z18" s="4">
        <v>13154578</v>
      </c>
      <c r="AA18" s="4">
        <v>40567225</v>
      </c>
      <c r="AB18" s="4">
        <v>0</v>
      </c>
      <c r="AC18" s="4">
        <v>4247029515</v>
      </c>
    </row>
    <row r="19" spans="1:29" x14ac:dyDescent="0.35">
      <c r="A19" s="3" t="s">
        <v>319</v>
      </c>
      <c r="B19" s="3">
        <v>2017</v>
      </c>
      <c r="C19" s="3" t="s">
        <v>434</v>
      </c>
      <c r="D19" s="3" t="s">
        <v>309</v>
      </c>
      <c r="E19" s="3" t="s">
        <v>309</v>
      </c>
      <c r="F19" s="3" t="s">
        <v>309</v>
      </c>
      <c r="G19" s="70" t="s">
        <v>323</v>
      </c>
      <c r="H19" s="26" t="s">
        <v>309</v>
      </c>
      <c r="I19" s="4">
        <v>960254000</v>
      </c>
      <c r="J19" s="4">
        <v>960254000</v>
      </c>
      <c r="K19" s="6">
        <f t="shared" si="4"/>
        <v>0</v>
      </c>
      <c r="L19" s="7">
        <f t="shared" si="5"/>
        <v>1</v>
      </c>
      <c r="M19" s="4">
        <v>67326100000.000008</v>
      </c>
      <c r="N19" s="4">
        <v>84056100000</v>
      </c>
      <c r="O19" s="4">
        <v>16730000000</v>
      </c>
      <c r="P19" s="5">
        <v>0.80100000000000005</v>
      </c>
      <c r="Q19" s="4">
        <v>10098900000</v>
      </c>
      <c r="R19" s="7">
        <f t="shared" si="6"/>
        <v>9.5085009258434092E-2</v>
      </c>
      <c r="S19" s="26" t="s">
        <v>309</v>
      </c>
      <c r="T19" s="4">
        <v>66371703247</v>
      </c>
      <c r="U19" s="7">
        <f t="shared" si="3"/>
        <v>0.78961197637054303</v>
      </c>
      <c r="W19" s="5"/>
      <c r="X19" s="4">
        <v>3905100000</v>
      </c>
      <c r="Y19" s="4">
        <f>4341598137+4684598</f>
        <v>4346282735</v>
      </c>
      <c r="Z19" s="4">
        <v>15961744</v>
      </c>
      <c r="AA19" s="4">
        <v>43546184</v>
      </c>
      <c r="AB19" s="4">
        <v>0</v>
      </c>
      <c r="AC19" s="4">
        <v>4405790663</v>
      </c>
    </row>
    <row r="20" spans="1:29" x14ac:dyDescent="0.35">
      <c r="A20" s="3" t="s">
        <v>319</v>
      </c>
      <c r="B20" s="3">
        <v>2018</v>
      </c>
      <c r="C20" s="3" t="s">
        <v>434</v>
      </c>
      <c r="D20" s="3" t="s">
        <v>309</v>
      </c>
      <c r="E20" s="3" t="s">
        <v>309</v>
      </c>
      <c r="F20" s="3" t="s">
        <v>309</v>
      </c>
      <c r="G20" s="70" t="s">
        <v>323</v>
      </c>
      <c r="H20" s="26" t="s">
        <v>309</v>
      </c>
      <c r="I20" s="4">
        <v>1318672000</v>
      </c>
      <c r="J20" s="4">
        <v>1318672000</v>
      </c>
      <c r="K20" s="6">
        <f t="shared" si="4"/>
        <v>0</v>
      </c>
      <c r="L20" s="7">
        <f t="shared" si="5"/>
        <v>1</v>
      </c>
      <c r="M20" s="4">
        <v>64802300000</v>
      </c>
      <c r="N20" s="4">
        <v>86574700000</v>
      </c>
      <c r="O20" s="4">
        <v>21772400000</v>
      </c>
      <c r="P20" s="5">
        <v>0.749</v>
      </c>
      <c r="Q20" s="4">
        <v>10852000000</v>
      </c>
      <c r="R20" s="7">
        <f t="shared" si="6"/>
        <v>0.12151419093254699</v>
      </c>
      <c r="S20" s="26" t="s">
        <v>309</v>
      </c>
      <c r="T20" s="4">
        <v>69327500445</v>
      </c>
      <c r="U20" s="7">
        <f t="shared" si="3"/>
        <v>0.80078245081992772</v>
      </c>
      <c r="W20" s="5"/>
      <c r="X20" s="4">
        <v>-3622600000</v>
      </c>
      <c r="Y20" s="4">
        <f>4637868037+4849807</f>
        <v>4642717844</v>
      </c>
      <c r="Z20" s="4">
        <v>13876294</v>
      </c>
      <c r="AA20" s="4">
        <v>37751319</v>
      </c>
      <c r="AB20" s="4">
        <v>0</v>
      </c>
      <c r="AC20" s="4">
        <v>4694345457</v>
      </c>
    </row>
    <row r="21" spans="1:29" x14ac:dyDescent="0.35">
      <c r="A21" s="3" t="s">
        <v>319</v>
      </c>
      <c r="B21" s="3">
        <v>2019</v>
      </c>
      <c r="C21" s="3" t="s">
        <v>434</v>
      </c>
      <c r="D21" s="3" t="s">
        <v>309</v>
      </c>
      <c r="E21" s="3" t="s">
        <v>309</v>
      </c>
      <c r="F21" s="3" t="s">
        <v>309</v>
      </c>
      <c r="G21" s="70" t="s">
        <v>323</v>
      </c>
      <c r="H21" s="26" t="s">
        <v>309</v>
      </c>
      <c r="I21" s="4">
        <v>1410966000</v>
      </c>
      <c r="J21" s="4">
        <v>1410966000</v>
      </c>
      <c r="K21" s="6">
        <f t="shared" si="4"/>
        <v>0</v>
      </c>
      <c r="L21" s="7">
        <f t="shared" si="5"/>
        <v>1</v>
      </c>
      <c r="M21" s="4">
        <v>70312300000</v>
      </c>
      <c r="N21" s="4">
        <v>89445700000</v>
      </c>
      <c r="O21" s="4">
        <v>19133500000</v>
      </c>
      <c r="P21" s="5">
        <v>0.78600000000000003</v>
      </c>
      <c r="Q21" s="4">
        <v>11533700000</v>
      </c>
      <c r="R21" s="7">
        <f t="shared" si="6"/>
        <v>0.12233420324787363</v>
      </c>
      <c r="S21" s="26" t="s">
        <v>309</v>
      </c>
      <c r="T21" s="4">
        <v>70203720619</v>
      </c>
      <c r="U21" s="7">
        <f t="shared" si="3"/>
        <v>0.78487529997529226</v>
      </c>
      <c r="W21" s="5"/>
      <c r="X21" s="4">
        <v>3045500000</v>
      </c>
      <c r="Y21" s="4">
        <f>4810975064+4083536</f>
        <v>4815058600</v>
      </c>
      <c r="Z21" s="4">
        <v>11903642</v>
      </c>
      <c r="AA21" s="4">
        <v>38403320</v>
      </c>
      <c r="AB21" s="4">
        <v>0</v>
      </c>
      <c r="AC21" s="4">
        <v>4865365562</v>
      </c>
    </row>
    <row r="22" spans="1:29" x14ac:dyDescent="0.35">
      <c r="A22" s="3" t="s">
        <v>319</v>
      </c>
      <c r="B22" s="3">
        <v>2020</v>
      </c>
      <c r="C22" s="3" t="s">
        <v>434</v>
      </c>
      <c r="D22" s="3" t="s">
        <v>309</v>
      </c>
      <c r="E22" s="3" t="s">
        <v>309</v>
      </c>
      <c r="F22" s="3" t="s">
        <v>309</v>
      </c>
      <c r="G22" s="70" t="s">
        <v>323</v>
      </c>
      <c r="H22" s="26" t="s">
        <v>309</v>
      </c>
      <c r="I22" s="4">
        <v>1981943000</v>
      </c>
      <c r="J22" s="4">
        <v>1981943000</v>
      </c>
      <c r="K22" s="6">
        <f t="shared" ref="K22:K23" si="7">I22-J22</f>
        <v>0</v>
      </c>
      <c r="L22" s="7">
        <f t="shared" ref="L22:L23" si="8">J22/I22</f>
        <v>1</v>
      </c>
      <c r="M22" s="4">
        <v>72378300000</v>
      </c>
      <c r="N22" s="4">
        <v>95300400000</v>
      </c>
      <c r="O22" s="4">
        <v>22922100000</v>
      </c>
      <c r="P22" s="5">
        <v>0.75900000000000001</v>
      </c>
      <c r="Q22" s="4">
        <v>12042700000</v>
      </c>
      <c r="R22" s="7">
        <f t="shared" si="6"/>
        <v>0.16457629933486675</v>
      </c>
      <c r="S22" s="26" t="s">
        <v>309</v>
      </c>
      <c r="T22" s="4">
        <v>68319296993</v>
      </c>
      <c r="U22" s="7">
        <f t="shared" si="3"/>
        <v>0.71688363315369086</v>
      </c>
      <c r="W22" s="5"/>
      <c r="X22" s="4">
        <v>201300000</v>
      </c>
      <c r="Y22" s="4">
        <f>5039756762+6174392</f>
        <v>5045931154</v>
      </c>
      <c r="Z22" s="4">
        <v>18855297</v>
      </c>
      <c r="AA22" s="4">
        <v>52083371</v>
      </c>
      <c r="AB22" s="4">
        <v>0</v>
      </c>
      <c r="AC22" s="4">
        <v>5116869822</v>
      </c>
    </row>
    <row r="23" spans="1:29" x14ac:dyDescent="0.35">
      <c r="A23" s="3" t="s">
        <v>319</v>
      </c>
      <c r="B23" s="3">
        <v>2021</v>
      </c>
      <c r="C23" s="3" t="s">
        <v>434</v>
      </c>
      <c r="D23" s="3" t="s">
        <v>309</v>
      </c>
      <c r="E23" s="3" t="s">
        <v>309</v>
      </c>
      <c r="F23" s="3" t="s">
        <v>309</v>
      </c>
      <c r="G23" s="70" t="s">
        <v>323</v>
      </c>
      <c r="H23" s="26" t="s">
        <v>309</v>
      </c>
      <c r="I23" s="4">
        <v>2058483000</v>
      </c>
      <c r="J23" s="4">
        <v>2058483000</v>
      </c>
      <c r="K23" s="6">
        <f t="shared" si="7"/>
        <v>0</v>
      </c>
      <c r="L23" s="7">
        <f t="shared" si="8"/>
        <v>1</v>
      </c>
      <c r="M23" s="4">
        <v>85001300000</v>
      </c>
      <c r="N23" s="4">
        <v>98401400000</v>
      </c>
      <c r="O23" s="4">
        <v>13400100000</v>
      </c>
      <c r="P23" s="5">
        <v>0.86399999999999999</v>
      </c>
      <c r="Q23" s="4">
        <v>12684100000</v>
      </c>
      <c r="R23" s="7">
        <f t="shared" si="6"/>
        <v>0.16228845562554695</v>
      </c>
      <c r="S23" s="26" t="s">
        <v>309</v>
      </c>
      <c r="T23" s="4">
        <v>84331316437</v>
      </c>
      <c r="U23" s="7">
        <f t="shared" si="3"/>
        <v>0.8570133802669474</v>
      </c>
      <c r="X23" s="4">
        <v>7417500000</v>
      </c>
      <c r="Y23" s="21">
        <f>5232215034+4922561</f>
        <v>5237137595</v>
      </c>
      <c r="Z23" s="4">
        <v>11934465</v>
      </c>
      <c r="AA23" s="4">
        <v>59084400</v>
      </c>
      <c r="AB23" s="4">
        <v>0</v>
      </c>
      <c r="AC23" s="4">
        <v>5308156460</v>
      </c>
    </row>
    <row r="24" spans="1:29" x14ac:dyDescent="0.35">
      <c r="A24" s="3" t="s">
        <v>319</v>
      </c>
      <c r="B24" s="3">
        <v>2022</v>
      </c>
      <c r="C24" s="3" t="s">
        <v>434</v>
      </c>
      <c r="D24" s="3" t="s">
        <v>309</v>
      </c>
      <c r="E24" s="3" t="s">
        <v>309</v>
      </c>
      <c r="F24" s="3" t="s">
        <v>309</v>
      </c>
      <c r="G24" s="70" t="s">
        <v>323</v>
      </c>
      <c r="H24" s="26" t="s">
        <v>309</v>
      </c>
      <c r="I24" s="4">
        <v>2117323000</v>
      </c>
      <c r="J24" s="4">
        <v>2117323000</v>
      </c>
      <c r="K24" s="6">
        <f t="shared" ref="K24" si="9">I24-J24</f>
        <v>0</v>
      </c>
      <c r="L24" s="7">
        <f t="shared" ref="L24" si="10">J24/I24</f>
        <v>1</v>
      </c>
      <c r="M24" s="4">
        <v>81074000000</v>
      </c>
      <c r="N24" s="4">
        <v>102908800000</v>
      </c>
      <c r="O24" s="4">
        <v>21834800000</v>
      </c>
      <c r="P24" s="5">
        <v>0.78800000000000003</v>
      </c>
      <c r="Q24" s="4">
        <v>13856600000</v>
      </c>
      <c r="R24" s="7">
        <f t="shared" si="6"/>
        <v>0.15280249123161527</v>
      </c>
      <c r="S24" s="26" t="s">
        <v>309</v>
      </c>
      <c r="T24" s="56">
        <v>83769552854</v>
      </c>
      <c r="U24" s="7">
        <f t="shared" si="3"/>
        <v>0.81401739067990297</v>
      </c>
      <c r="X24" s="56">
        <f>-6387.1*1000000</f>
        <v>-6387100000</v>
      </c>
      <c r="Y24" s="56">
        <f>5462482777+5732332</f>
        <v>5468215109</v>
      </c>
      <c r="Z24" s="56">
        <v>14893205</v>
      </c>
      <c r="AA24" s="56">
        <v>58696368</v>
      </c>
      <c r="AB24" s="56">
        <v>0</v>
      </c>
      <c r="AC24" s="56">
        <v>5541804682</v>
      </c>
    </row>
    <row r="26" spans="1:29" x14ac:dyDescent="0.35">
      <c r="A26" s="3" t="s">
        <v>276</v>
      </c>
    </row>
    <row r="27" spans="1:29" x14ac:dyDescent="0.35">
      <c r="A27" s="3" t="s">
        <v>319</v>
      </c>
      <c r="B27" s="3">
        <v>2001</v>
      </c>
      <c r="D27" s="3" t="s">
        <v>322</v>
      </c>
      <c r="E27" s="3" t="s">
        <v>322</v>
      </c>
      <c r="G27" s="3" t="s">
        <v>430</v>
      </c>
      <c r="H27" s="3" t="s">
        <v>322</v>
      </c>
      <c r="M27" s="3" t="s">
        <v>324</v>
      </c>
      <c r="N27" s="3" t="s">
        <v>324</v>
      </c>
      <c r="O27" s="3" t="s">
        <v>324</v>
      </c>
      <c r="P27" s="3" t="s">
        <v>324</v>
      </c>
      <c r="Q27" s="3" t="s">
        <v>324</v>
      </c>
      <c r="T27" s="3" t="s">
        <v>431</v>
      </c>
      <c r="Y27" s="3" t="s">
        <v>325</v>
      </c>
      <c r="Z27" s="3" t="s">
        <v>325</v>
      </c>
      <c r="AA27" s="3" t="s">
        <v>325</v>
      </c>
      <c r="AB27" s="3" t="s">
        <v>325</v>
      </c>
      <c r="AC27" s="3" t="s">
        <v>325</v>
      </c>
    </row>
    <row r="28" spans="1:29" x14ac:dyDescent="0.35">
      <c r="A28" s="3" t="s">
        <v>319</v>
      </c>
      <c r="B28" s="3">
        <v>2002</v>
      </c>
      <c r="D28" s="3" t="s">
        <v>326</v>
      </c>
      <c r="E28" s="3" t="s">
        <v>326</v>
      </c>
      <c r="G28" s="3" t="s">
        <v>327</v>
      </c>
      <c r="H28" s="3" t="s">
        <v>326</v>
      </c>
      <c r="M28" s="3" t="s">
        <v>329</v>
      </c>
      <c r="N28" s="3" t="s">
        <v>329</v>
      </c>
      <c r="O28" s="3" t="s">
        <v>329</v>
      </c>
      <c r="P28" s="3" t="s">
        <v>329</v>
      </c>
      <c r="Q28" s="3" t="s">
        <v>329</v>
      </c>
      <c r="T28" s="3" t="s">
        <v>328</v>
      </c>
      <c r="Y28" s="3" t="s">
        <v>328</v>
      </c>
      <c r="Z28" s="3" t="s">
        <v>328</v>
      </c>
      <c r="AA28" s="3" t="s">
        <v>328</v>
      </c>
      <c r="AB28" s="3" t="s">
        <v>328</v>
      </c>
      <c r="AC28" s="3" t="s">
        <v>328</v>
      </c>
    </row>
    <row r="29" spans="1:29" x14ac:dyDescent="0.35">
      <c r="A29" s="3" t="s">
        <v>319</v>
      </c>
      <c r="B29" s="3">
        <v>2003</v>
      </c>
      <c r="D29" s="3" t="s">
        <v>332</v>
      </c>
      <c r="E29" s="3" t="s">
        <v>332</v>
      </c>
      <c r="G29" s="3" t="s">
        <v>432</v>
      </c>
      <c r="H29" s="3" t="s">
        <v>332</v>
      </c>
      <c r="M29" s="3" t="s">
        <v>331</v>
      </c>
      <c r="N29" s="3" t="s">
        <v>331</v>
      </c>
      <c r="O29" s="3" t="s">
        <v>331</v>
      </c>
      <c r="P29" s="3" t="s">
        <v>331</v>
      </c>
      <c r="Q29" s="3" t="s">
        <v>331</v>
      </c>
      <c r="T29" s="3" t="s">
        <v>330</v>
      </c>
      <c r="Y29" s="3" t="s">
        <v>330</v>
      </c>
      <c r="Z29" s="3" t="s">
        <v>330</v>
      </c>
      <c r="AA29" s="3" t="s">
        <v>330</v>
      </c>
      <c r="AB29" s="3" t="s">
        <v>330</v>
      </c>
      <c r="AC29" s="3" t="s">
        <v>330</v>
      </c>
    </row>
    <row r="30" spans="1:29" x14ac:dyDescent="0.35">
      <c r="A30" s="3" t="s">
        <v>319</v>
      </c>
      <c r="B30" s="3">
        <v>2004</v>
      </c>
      <c r="D30" s="3" t="s">
        <v>333</v>
      </c>
      <c r="E30" s="3" t="s">
        <v>333</v>
      </c>
      <c r="G30" s="3" t="s">
        <v>336</v>
      </c>
      <c r="H30" s="3" t="s">
        <v>333</v>
      </c>
      <c r="M30" s="3" t="s">
        <v>334</v>
      </c>
      <c r="N30" s="3" t="s">
        <v>334</v>
      </c>
      <c r="O30" s="3" t="s">
        <v>334</v>
      </c>
      <c r="P30" s="3" t="s">
        <v>334</v>
      </c>
      <c r="Q30" s="3" t="s">
        <v>334</v>
      </c>
      <c r="T30" s="3" t="s">
        <v>335</v>
      </c>
      <c r="Y30" s="3" t="s">
        <v>335</v>
      </c>
      <c r="Z30" s="3" t="s">
        <v>335</v>
      </c>
      <c r="AA30" s="3" t="s">
        <v>335</v>
      </c>
      <c r="AB30" s="3" t="s">
        <v>335</v>
      </c>
      <c r="AC30" s="3" t="s">
        <v>335</v>
      </c>
    </row>
    <row r="31" spans="1:29" x14ac:dyDescent="0.35">
      <c r="A31" s="3" t="s">
        <v>319</v>
      </c>
      <c r="B31" s="3">
        <v>2005</v>
      </c>
      <c r="D31" s="3" t="s">
        <v>337</v>
      </c>
      <c r="E31" s="3" t="s">
        <v>337</v>
      </c>
      <c r="G31" s="3" t="s">
        <v>339</v>
      </c>
      <c r="H31" s="3" t="s">
        <v>337</v>
      </c>
      <c r="M31" s="3" t="s">
        <v>334</v>
      </c>
      <c r="N31" s="3" t="s">
        <v>334</v>
      </c>
      <c r="O31" s="3" t="s">
        <v>334</v>
      </c>
      <c r="P31" s="3" t="s">
        <v>334</v>
      </c>
      <c r="Q31" s="3" t="s">
        <v>334</v>
      </c>
      <c r="T31" s="3" t="s">
        <v>338</v>
      </c>
      <c r="Y31" s="3" t="s">
        <v>338</v>
      </c>
      <c r="Z31" s="3" t="s">
        <v>338</v>
      </c>
      <c r="AA31" s="3" t="s">
        <v>338</v>
      </c>
      <c r="AB31" s="3" t="s">
        <v>338</v>
      </c>
      <c r="AC31" s="3" t="s">
        <v>338</v>
      </c>
    </row>
    <row r="32" spans="1:29" x14ac:dyDescent="0.35">
      <c r="A32" s="3" t="s">
        <v>319</v>
      </c>
      <c r="B32" s="3">
        <v>2006</v>
      </c>
      <c r="D32" s="3" t="s">
        <v>340</v>
      </c>
      <c r="E32" s="3" t="s">
        <v>340</v>
      </c>
      <c r="G32" s="3" t="s">
        <v>343</v>
      </c>
      <c r="H32" s="3" t="s">
        <v>340</v>
      </c>
      <c r="M32" s="3" t="s">
        <v>341</v>
      </c>
      <c r="N32" s="3" t="s">
        <v>341</v>
      </c>
      <c r="O32" s="3" t="s">
        <v>341</v>
      </c>
      <c r="P32" s="3" t="s">
        <v>341</v>
      </c>
      <c r="Q32" s="3" t="s">
        <v>341</v>
      </c>
      <c r="T32" s="3" t="s">
        <v>342</v>
      </c>
      <c r="Y32" s="3" t="s">
        <v>342</v>
      </c>
      <c r="Z32" s="3" t="s">
        <v>342</v>
      </c>
      <c r="AA32" s="3" t="s">
        <v>342</v>
      </c>
      <c r="AB32" s="3" t="s">
        <v>342</v>
      </c>
      <c r="AC32" s="3" t="s">
        <v>342</v>
      </c>
    </row>
    <row r="33" spans="1:29" x14ac:dyDescent="0.35">
      <c r="A33" s="3" t="s">
        <v>319</v>
      </c>
      <c r="B33" s="3">
        <v>2007</v>
      </c>
      <c r="C33" s="3" t="s">
        <v>395</v>
      </c>
      <c r="D33" s="3" t="s">
        <v>344</v>
      </c>
      <c r="E33" s="3" t="s">
        <v>344</v>
      </c>
      <c r="G33" s="3" t="s">
        <v>352</v>
      </c>
      <c r="H33" s="3" t="s">
        <v>344</v>
      </c>
      <c r="M33" s="3" t="s">
        <v>345</v>
      </c>
      <c r="N33" s="3" t="s">
        <v>345</v>
      </c>
      <c r="O33" s="3" t="s">
        <v>345</v>
      </c>
      <c r="P33" s="3" t="s">
        <v>345</v>
      </c>
      <c r="Q33" s="3" t="s">
        <v>345</v>
      </c>
      <c r="T33" s="3" t="s">
        <v>347</v>
      </c>
      <c r="X33" s="3" t="s">
        <v>348</v>
      </c>
      <c r="Y33" s="3" t="s">
        <v>347</v>
      </c>
      <c r="Z33" s="3" t="s">
        <v>347</v>
      </c>
      <c r="AA33" s="3" t="s">
        <v>347</v>
      </c>
      <c r="AB33" s="3" t="s">
        <v>347</v>
      </c>
      <c r="AC33" s="3" t="s">
        <v>347</v>
      </c>
    </row>
    <row r="34" spans="1:29" x14ac:dyDescent="0.35">
      <c r="A34" s="3" t="s">
        <v>319</v>
      </c>
      <c r="B34" s="3">
        <v>2008</v>
      </c>
      <c r="C34" s="3" t="s">
        <v>396</v>
      </c>
      <c r="D34" s="3" t="s">
        <v>349</v>
      </c>
      <c r="E34" s="3" t="s">
        <v>349</v>
      </c>
      <c r="G34" s="3" t="s">
        <v>351</v>
      </c>
      <c r="H34" s="3" t="s">
        <v>349</v>
      </c>
      <c r="M34" s="3" t="s">
        <v>359</v>
      </c>
      <c r="N34" s="3" t="s">
        <v>359</v>
      </c>
      <c r="O34" s="3" t="s">
        <v>359</v>
      </c>
      <c r="P34" s="3" t="s">
        <v>359</v>
      </c>
      <c r="Q34" s="3" t="s">
        <v>359</v>
      </c>
      <c r="T34" s="3" t="s">
        <v>346</v>
      </c>
      <c r="X34" s="3" t="s">
        <v>350</v>
      </c>
      <c r="Y34" s="3" t="s">
        <v>346</v>
      </c>
      <c r="Z34" s="3" t="s">
        <v>346</v>
      </c>
      <c r="AA34" s="3" t="s">
        <v>346</v>
      </c>
      <c r="AB34" s="3" t="s">
        <v>346</v>
      </c>
      <c r="AC34" s="3" t="s">
        <v>346</v>
      </c>
    </row>
    <row r="35" spans="1:29" x14ac:dyDescent="0.35">
      <c r="A35" s="3" t="s">
        <v>319</v>
      </c>
      <c r="B35" s="3">
        <v>2009</v>
      </c>
      <c r="C35" s="3" t="s">
        <v>365</v>
      </c>
      <c r="D35" s="3" t="s">
        <v>353</v>
      </c>
      <c r="E35" s="3" t="s">
        <v>353</v>
      </c>
      <c r="G35" s="3" t="s">
        <v>357</v>
      </c>
      <c r="H35" s="3" t="s">
        <v>353</v>
      </c>
      <c r="M35" s="3" t="s">
        <v>354</v>
      </c>
      <c r="N35" s="3" t="s">
        <v>354</v>
      </c>
      <c r="O35" s="3" t="s">
        <v>354</v>
      </c>
      <c r="P35" s="3" t="s">
        <v>354</v>
      </c>
      <c r="Q35" s="3" t="s">
        <v>354</v>
      </c>
      <c r="T35" s="3" t="s">
        <v>355</v>
      </c>
      <c r="X35" s="3" t="s">
        <v>356</v>
      </c>
      <c r="Y35" s="3" t="s">
        <v>355</v>
      </c>
      <c r="Z35" s="3" t="s">
        <v>355</v>
      </c>
      <c r="AA35" s="3" t="s">
        <v>355</v>
      </c>
      <c r="AB35" s="3" t="s">
        <v>355</v>
      </c>
      <c r="AC35" s="3" t="s">
        <v>355</v>
      </c>
    </row>
    <row r="36" spans="1:29" x14ac:dyDescent="0.35">
      <c r="A36" s="3" t="s">
        <v>319</v>
      </c>
      <c r="B36" s="3">
        <v>2010</v>
      </c>
      <c r="C36" s="3" t="s">
        <v>363</v>
      </c>
      <c r="D36" s="3" t="s">
        <v>358</v>
      </c>
      <c r="E36" s="3" t="s">
        <v>358</v>
      </c>
      <c r="G36" s="3" t="s">
        <v>397</v>
      </c>
      <c r="H36" s="3" t="s">
        <v>358</v>
      </c>
      <c r="M36" s="3" t="s">
        <v>360</v>
      </c>
      <c r="N36" s="3" t="s">
        <v>360</v>
      </c>
      <c r="O36" s="3" t="s">
        <v>360</v>
      </c>
      <c r="P36" s="3" t="s">
        <v>360</v>
      </c>
      <c r="Q36" s="3" t="s">
        <v>360</v>
      </c>
      <c r="T36" s="3" t="s">
        <v>361</v>
      </c>
      <c r="X36" s="3" t="s">
        <v>364</v>
      </c>
      <c r="Y36" s="3" t="s">
        <v>361</v>
      </c>
      <c r="Z36" s="3" t="s">
        <v>361</v>
      </c>
      <c r="AA36" s="3" t="s">
        <v>361</v>
      </c>
      <c r="AB36" s="3" t="s">
        <v>361</v>
      </c>
      <c r="AC36" s="3" t="s">
        <v>361</v>
      </c>
    </row>
    <row r="37" spans="1:29" x14ac:dyDescent="0.35">
      <c r="A37" s="3" t="s">
        <v>319</v>
      </c>
      <c r="B37" s="3">
        <v>2011</v>
      </c>
      <c r="C37" s="3" t="s">
        <v>366</v>
      </c>
      <c r="D37" s="3" t="s">
        <v>371</v>
      </c>
      <c r="E37" s="3" t="s">
        <v>371</v>
      </c>
      <c r="G37" s="3" t="s">
        <v>369</v>
      </c>
      <c r="H37" s="3" t="s">
        <v>371</v>
      </c>
      <c r="M37" s="3" t="s">
        <v>367</v>
      </c>
      <c r="N37" s="3" t="s">
        <v>367</v>
      </c>
      <c r="O37" s="3" t="s">
        <v>367</v>
      </c>
      <c r="P37" s="3" t="s">
        <v>367</v>
      </c>
      <c r="Q37" s="3" t="s">
        <v>367</v>
      </c>
      <c r="T37" s="3" t="s">
        <v>368</v>
      </c>
      <c r="X37" s="3" t="s">
        <v>370</v>
      </c>
      <c r="Y37" s="3" t="s">
        <v>368</v>
      </c>
      <c r="Z37" s="3" t="s">
        <v>368</v>
      </c>
      <c r="AA37" s="3" t="s">
        <v>368</v>
      </c>
      <c r="AB37" s="3" t="s">
        <v>368</v>
      </c>
      <c r="AC37" s="3" t="s">
        <v>368</v>
      </c>
    </row>
    <row r="38" spans="1:29" x14ac:dyDescent="0.35">
      <c r="A38" s="3" t="s">
        <v>319</v>
      </c>
      <c r="B38" s="3">
        <v>2012</v>
      </c>
      <c r="C38" s="3" t="s">
        <v>374</v>
      </c>
      <c r="D38" s="3" t="s">
        <v>372</v>
      </c>
      <c r="E38" s="3" t="s">
        <v>372</v>
      </c>
      <c r="G38" s="3" t="s">
        <v>376</v>
      </c>
      <c r="H38" s="3" t="s">
        <v>372</v>
      </c>
      <c r="M38" s="3" t="s">
        <v>373</v>
      </c>
      <c r="N38" s="3" t="s">
        <v>373</v>
      </c>
      <c r="O38" s="3" t="s">
        <v>373</v>
      </c>
      <c r="P38" s="3" t="s">
        <v>373</v>
      </c>
      <c r="Q38" s="3" t="s">
        <v>373</v>
      </c>
      <c r="T38" s="3" t="s">
        <v>375</v>
      </c>
      <c r="X38" s="3" t="s">
        <v>377</v>
      </c>
      <c r="Y38" s="3" t="s">
        <v>375</v>
      </c>
      <c r="Z38" s="3" t="s">
        <v>375</v>
      </c>
      <c r="AA38" s="3" t="s">
        <v>375</v>
      </c>
      <c r="AB38" s="3" t="s">
        <v>375</v>
      </c>
      <c r="AC38" s="3" t="s">
        <v>375</v>
      </c>
    </row>
    <row r="39" spans="1:29" x14ac:dyDescent="0.35">
      <c r="A39" s="3" t="s">
        <v>319</v>
      </c>
      <c r="B39" s="3">
        <v>2013</v>
      </c>
      <c r="C39" s="3" t="s">
        <v>381</v>
      </c>
      <c r="D39" s="3" t="s">
        <v>382</v>
      </c>
      <c r="E39" s="3" t="s">
        <v>382</v>
      </c>
      <c r="G39" s="3" t="s">
        <v>378</v>
      </c>
      <c r="H39" s="3" t="s">
        <v>382</v>
      </c>
      <c r="M39" s="3" t="s">
        <v>653</v>
      </c>
      <c r="N39" s="3" t="s">
        <v>653</v>
      </c>
      <c r="O39" s="3" t="s">
        <v>653</v>
      </c>
      <c r="P39" s="3" t="s">
        <v>653</v>
      </c>
      <c r="Q39" s="3" t="s">
        <v>653</v>
      </c>
      <c r="T39" s="3" t="s">
        <v>380</v>
      </c>
      <c r="X39" s="3" t="s">
        <v>379</v>
      </c>
      <c r="Y39" s="3" t="s">
        <v>380</v>
      </c>
      <c r="Z39" s="3" t="s">
        <v>380</v>
      </c>
      <c r="AA39" s="3" t="s">
        <v>380</v>
      </c>
      <c r="AB39" s="3" t="s">
        <v>380</v>
      </c>
      <c r="AC39" s="3" t="s">
        <v>380</v>
      </c>
    </row>
    <row r="40" spans="1:29" x14ac:dyDescent="0.35">
      <c r="A40" s="3" t="s">
        <v>319</v>
      </c>
      <c r="B40" s="3">
        <v>2014</v>
      </c>
      <c r="C40" s="3" t="s">
        <v>383</v>
      </c>
      <c r="G40" s="3" t="s">
        <v>382</v>
      </c>
      <c r="I40" s="3" t="s">
        <v>316</v>
      </c>
      <c r="J40" s="3" t="s">
        <v>316</v>
      </c>
      <c r="K40" s="3" t="s">
        <v>316</v>
      </c>
      <c r="M40" s="3" t="s">
        <v>654</v>
      </c>
      <c r="N40" s="3" t="s">
        <v>654</v>
      </c>
      <c r="O40" s="3" t="s">
        <v>654</v>
      </c>
      <c r="P40" s="3" t="s">
        <v>654</v>
      </c>
      <c r="Q40" s="3" t="s">
        <v>654</v>
      </c>
      <c r="T40" s="3" t="s">
        <v>384</v>
      </c>
      <c r="X40" s="3" t="s">
        <v>388</v>
      </c>
      <c r="Y40" s="3" t="s">
        <v>384</v>
      </c>
      <c r="Z40" s="3" t="s">
        <v>384</v>
      </c>
      <c r="AA40" s="3" t="s">
        <v>384</v>
      </c>
      <c r="AB40" s="3" t="s">
        <v>384</v>
      </c>
      <c r="AC40" s="3" t="s">
        <v>384</v>
      </c>
    </row>
    <row r="41" spans="1:29" x14ac:dyDescent="0.35">
      <c r="A41" s="3" t="s">
        <v>319</v>
      </c>
      <c r="B41" s="3">
        <v>2015</v>
      </c>
      <c r="C41" s="3" t="s">
        <v>385</v>
      </c>
      <c r="G41" s="3" t="s">
        <v>386</v>
      </c>
      <c r="I41" s="3" t="s">
        <v>318</v>
      </c>
      <c r="J41" s="3" t="s">
        <v>318</v>
      </c>
      <c r="K41" s="3" t="s">
        <v>318</v>
      </c>
      <c r="M41" s="3" t="s">
        <v>655</v>
      </c>
      <c r="N41" s="3" t="s">
        <v>655</v>
      </c>
      <c r="O41" s="3" t="s">
        <v>655</v>
      </c>
      <c r="P41" s="3" t="s">
        <v>655</v>
      </c>
      <c r="Q41" s="3" t="s">
        <v>655</v>
      </c>
      <c r="T41" s="3" t="s">
        <v>387</v>
      </c>
      <c r="X41" s="3" t="s">
        <v>389</v>
      </c>
      <c r="Y41" s="3" t="s">
        <v>387</v>
      </c>
      <c r="Z41" s="3" t="s">
        <v>387</v>
      </c>
      <c r="AA41" s="3" t="s">
        <v>387</v>
      </c>
      <c r="AB41" s="3" t="s">
        <v>387</v>
      </c>
      <c r="AC41" s="3" t="s">
        <v>387</v>
      </c>
    </row>
    <row r="42" spans="1:29" x14ac:dyDescent="0.35">
      <c r="A42" s="3" t="s">
        <v>319</v>
      </c>
      <c r="B42" s="3">
        <v>2016</v>
      </c>
      <c r="C42" s="3" t="s">
        <v>462</v>
      </c>
      <c r="G42" s="3" t="s">
        <v>390</v>
      </c>
      <c r="I42" s="3" t="s">
        <v>884</v>
      </c>
      <c r="J42" s="3" t="s">
        <v>884</v>
      </c>
      <c r="K42" s="3" t="s">
        <v>884</v>
      </c>
      <c r="M42" s="3" t="s">
        <v>656</v>
      </c>
      <c r="N42" s="3" t="s">
        <v>656</v>
      </c>
      <c r="O42" s="3" t="s">
        <v>656</v>
      </c>
      <c r="P42" s="3" t="s">
        <v>656</v>
      </c>
      <c r="Q42" s="3" t="s">
        <v>656</v>
      </c>
      <c r="T42" s="3" t="s">
        <v>460</v>
      </c>
      <c r="X42" s="3" t="s">
        <v>463</v>
      </c>
      <c r="Y42" s="3" t="s">
        <v>460</v>
      </c>
      <c r="Z42" s="3" t="s">
        <v>460</v>
      </c>
      <c r="AA42" s="3" t="s">
        <v>460</v>
      </c>
      <c r="AB42" s="3" t="s">
        <v>460</v>
      </c>
      <c r="AC42" s="3" t="s">
        <v>460</v>
      </c>
    </row>
    <row r="43" spans="1:29" x14ac:dyDescent="0.35">
      <c r="A43" s="3" t="s">
        <v>319</v>
      </c>
      <c r="B43" s="3">
        <v>2017</v>
      </c>
      <c r="C43" s="3" t="s">
        <v>391</v>
      </c>
      <c r="G43" s="3" t="s">
        <v>392</v>
      </c>
      <c r="I43" s="3" t="s">
        <v>885</v>
      </c>
      <c r="J43" s="3" t="s">
        <v>885</v>
      </c>
      <c r="K43" s="3" t="s">
        <v>885</v>
      </c>
      <c r="M43" s="3" t="s">
        <v>657</v>
      </c>
      <c r="N43" s="3" t="s">
        <v>657</v>
      </c>
      <c r="O43" s="3" t="s">
        <v>657</v>
      </c>
      <c r="P43" s="3" t="s">
        <v>657</v>
      </c>
      <c r="Q43" s="3" t="s">
        <v>657</v>
      </c>
      <c r="T43" s="3" t="s">
        <v>461</v>
      </c>
      <c r="X43" s="3" t="s">
        <v>464</v>
      </c>
      <c r="Y43" s="3" t="s">
        <v>461</v>
      </c>
      <c r="Z43" s="3" t="s">
        <v>461</v>
      </c>
      <c r="AA43" s="3" t="s">
        <v>461</v>
      </c>
      <c r="AB43" s="3" t="s">
        <v>461</v>
      </c>
      <c r="AC43" s="3" t="s">
        <v>461</v>
      </c>
    </row>
    <row r="44" spans="1:29" x14ac:dyDescent="0.35">
      <c r="A44" s="3" t="s">
        <v>319</v>
      </c>
      <c r="B44" s="3">
        <v>2018</v>
      </c>
      <c r="C44" s="3" t="s">
        <v>393</v>
      </c>
      <c r="G44" s="3" t="s">
        <v>466</v>
      </c>
      <c r="I44" s="3" t="s">
        <v>465</v>
      </c>
      <c r="J44" s="3" t="s">
        <v>465</v>
      </c>
      <c r="K44" s="3" t="s">
        <v>465</v>
      </c>
      <c r="M44" s="3" t="s">
        <v>658</v>
      </c>
      <c r="N44" s="3" t="s">
        <v>658</v>
      </c>
      <c r="O44" s="3" t="s">
        <v>658</v>
      </c>
      <c r="P44" s="3" t="s">
        <v>658</v>
      </c>
      <c r="Q44" s="3" t="s">
        <v>658</v>
      </c>
      <c r="T44" s="3" t="s">
        <v>459</v>
      </c>
      <c r="X44" s="3" t="s">
        <v>469</v>
      </c>
      <c r="Y44" s="3" t="s">
        <v>459</v>
      </c>
      <c r="Z44" s="3" t="s">
        <v>459</v>
      </c>
      <c r="AA44" s="3" t="s">
        <v>459</v>
      </c>
      <c r="AB44" s="3" t="s">
        <v>459</v>
      </c>
      <c r="AC44" s="3" t="s">
        <v>459</v>
      </c>
    </row>
    <row r="45" spans="1:29" x14ac:dyDescent="0.35">
      <c r="A45" s="3" t="s">
        <v>319</v>
      </c>
      <c r="B45" s="3">
        <v>2019</v>
      </c>
      <c r="C45" s="3" t="s">
        <v>467</v>
      </c>
      <c r="G45" s="3" t="s">
        <v>468</v>
      </c>
      <c r="I45" s="3" t="s">
        <v>886</v>
      </c>
      <c r="J45" s="3" t="s">
        <v>886</v>
      </c>
      <c r="K45" s="3" t="s">
        <v>886</v>
      </c>
      <c r="M45" s="3" t="s">
        <v>659</v>
      </c>
      <c r="N45" s="3" t="s">
        <v>659</v>
      </c>
      <c r="O45" s="3" t="s">
        <v>659</v>
      </c>
      <c r="P45" s="3" t="s">
        <v>659</v>
      </c>
      <c r="Q45" s="3" t="s">
        <v>659</v>
      </c>
      <c r="T45" s="3" t="s">
        <v>458</v>
      </c>
      <c r="X45" s="3" t="s">
        <v>649</v>
      </c>
      <c r="Y45" s="3" t="s">
        <v>458</v>
      </c>
      <c r="Z45" s="3" t="s">
        <v>458</v>
      </c>
      <c r="AA45" s="3" t="s">
        <v>458</v>
      </c>
      <c r="AB45" s="3" t="s">
        <v>458</v>
      </c>
      <c r="AC45" s="3" t="s">
        <v>458</v>
      </c>
    </row>
    <row r="46" spans="1:29" x14ac:dyDescent="0.35">
      <c r="A46" s="3" t="s">
        <v>319</v>
      </c>
      <c r="B46" s="3">
        <v>2020</v>
      </c>
      <c r="C46" s="3" t="s">
        <v>887</v>
      </c>
      <c r="G46" s="3" t="s">
        <v>888</v>
      </c>
      <c r="I46" s="3" t="s">
        <v>889</v>
      </c>
      <c r="J46" s="3" t="s">
        <v>889</v>
      </c>
      <c r="K46" s="3" t="s">
        <v>889</v>
      </c>
      <c r="M46" s="3" t="s">
        <v>890</v>
      </c>
      <c r="N46" s="3" t="s">
        <v>890</v>
      </c>
      <c r="O46" s="3" t="s">
        <v>890</v>
      </c>
      <c r="P46" s="3" t="s">
        <v>890</v>
      </c>
      <c r="Q46" s="3" t="s">
        <v>890</v>
      </c>
      <c r="T46" s="3" t="s">
        <v>891</v>
      </c>
      <c r="X46" s="3" t="s">
        <v>870</v>
      </c>
      <c r="Y46" s="3" t="s">
        <v>891</v>
      </c>
      <c r="Z46" s="3" t="s">
        <v>891</v>
      </c>
      <c r="AA46" s="3" t="s">
        <v>891</v>
      </c>
      <c r="AB46" s="3" t="s">
        <v>891</v>
      </c>
      <c r="AC46" s="3" t="s">
        <v>891</v>
      </c>
    </row>
    <row r="47" spans="1:29" x14ac:dyDescent="0.35">
      <c r="A47" s="3" t="s">
        <v>319</v>
      </c>
      <c r="B47" s="3">
        <v>2021</v>
      </c>
      <c r="C47" s="3" t="s">
        <v>892</v>
      </c>
      <c r="G47" s="3" t="s">
        <v>892</v>
      </c>
      <c r="I47" s="3" t="s">
        <v>893</v>
      </c>
      <c r="J47" s="3" t="s">
        <v>893</v>
      </c>
      <c r="K47" s="3" t="s">
        <v>893</v>
      </c>
      <c r="M47" s="3" t="s">
        <v>894</v>
      </c>
      <c r="N47" s="3" t="s">
        <v>894</v>
      </c>
      <c r="O47" s="3" t="s">
        <v>894</v>
      </c>
      <c r="P47" s="3" t="s">
        <v>894</v>
      </c>
      <c r="Q47" s="3" t="s">
        <v>894</v>
      </c>
      <c r="T47" s="3" t="s">
        <v>895</v>
      </c>
      <c r="X47" s="3" t="s">
        <v>870</v>
      </c>
      <c r="Y47" s="3" t="s">
        <v>895</v>
      </c>
      <c r="Z47" s="3" t="s">
        <v>895</v>
      </c>
      <c r="AA47" s="3" t="s">
        <v>895</v>
      </c>
      <c r="AB47" s="3" t="s">
        <v>895</v>
      </c>
      <c r="AC47" s="3" t="s">
        <v>895</v>
      </c>
    </row>
    <row r="48" spans="1:29" x14ac:dyDescent="0.35">
      <c r="A48" s="3" t="s">
        <v>319</v>
      </c>
      <c r="B48" s="3">
        <v>2022</v>
      </c>
      <c r="C48" s="3" t="s">
        <v>1388</v>
      </c>
      <c r="G48" s="3" t="s">
        <v>1388</v>
      </c>
      <c r="I48" s="3" t="s">
        <v>1389</v>
      </c>
      <c r="J48" s="3" t="s">
        <v>1389</v>
      </c>
      <c r="K48" s="3" t="s">
        <v>1389</v>
      </c>
      <c r="M48" s="3" t="s">
        <v>1391</v>
      </c>
      <c r="N48" s="3" t="s">
        <v>1391</v>
      </c>
      <c r="O48" s="3" t="s">
        <v>1391</v>
      </c>
      <c r="P48" s="3" t="s">
        <v>1391</v>
      </c>
      <c r="Q48" s="3" t="s">
        <v>1391</v>
      </c>
      <c r="T48" s="3" t="s">
        <v>1390</v>
      </c>
      <c r="X48" s="3" t="s">
        <v>1392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449-8F06-4E71-AAEF-ECC5CF7CB5F8}">
  <dimension ref="A1:CM48"/>
  <sheetViews>
    <sheetView zoomScale="80" zoomScaleNormal="80" workbookViewId="0"/>
  </sheetViews>
  <sheetFormatPr defaultColWidth="12.58203125" defaultRowHeight="14.5" x14ac:dyDescent="0.35"/>
  <cols>
    <col min="1" max="1" width="35.5" style="47" bestFit="1" customWidth="1"/>
    <col min="2" max="2" width="7.5" style="42" bestFit="1" customWidth="1"/>
    <col min="3" max="3" width="22.1640625" style="47" bestFit="1" customWidth="1"/>
    <col min="4" max="4" width="15.5" style="47" bestFit="1" customWidth="1"/>
    <col min="5" max="5" width="25.75" style="47" bestFit="1" customWidth="1"/>
    <col min="6" max="6" width="24.6640625" style="47" bestFit="1" customWidth="1"/>
    <col min="7" max="7" width="26.33203125" style="47" bestFit="1" customWidth="1"/>
    <col min="8" max="8" width="16.83203125" style="47" bestFit="1" customWidth="1"/>
    <col min="9" max="9" width="23.33203125" style="47" bestFit="1" customWidth="1"/>
    <col min="10" max="10" width="22.08203125" style="47" bestFit="1" customWidth="1"/>
    <col min="11" max="11" width="11.33203125" style="47" bestFit="1" customWidth="1"/>
    <col min="12" max="12" width="14.5" style="47" bestFit="1" customWidth="1"/>
    <col min="13" max="13" width="26.4140625" style="47" bestFit="1" customWidth="1"/>
    <col min="14" max="14" width="32.5" style="47" bestFit="1" customWidth="1"/>
    <col min="15" max="15" width="16" style="47" bestFit="1" customWidth="1"/>
    <col min="16" max="16" width="27" style="47" bestFit="1" customWidth="1"/>
    <col min="17" max="17" width="22.83203125" style="47" bestFit="1" customWidth="1"/>
    <col min="18" max="19" width="19.9140625" style="47" bestFit="1" customWidth="1"/>
    <col min="20" max="20" width="20.5" style="47" bestFit="1" customWidth="1"/>
    <col min="21" max="21" width="19.9140625" style="47" bestFit="1" customWidth="1"/>
    <col min="22" max="22" width="23.4140625" style="47" bestFit="1" customWidth="1"/>
    <col min="23" max="24" width="21" style="47" bestFit="1" customWidth="1"/>
    <col min="25" max="25" width="19.75" style="47" bestFit="1" customWidth="1"/>
    <col min="26" max="26" width="33.33203125" style="47" bestFit="1" customWidth="1"/>
    <col min="27" max="27" width="19.33203125" style="47" bestFit="1" customWidth="1"/>
    <col min="28" max="28" width="22.83203125" style="47" bestFit="1" customWidth="1"/>
    <col min="29" max="29" width="22.58203125" style="47" bestFit="1" customWidth="1"/>
    <col min="30" max="30" width="18.83203125" style="47" bestFit="1" customWidth="1"/>
    <col min="31" max="31" width="8.83203125" style="47" bestFit="1" customWidth="1"/>
    <col min="32" max="32" width="15.75" style="47" bestFit="1" customWidth="1"/>
    <col min="33" max="33" width="14.08203125" style="47" bestFit="1" customWidth="1"/>
    <col min="34" max="34" width="9.9140625" style="47" bestFit="1" customWidth="1"/>
    <col min="35" max="35" width="31" style="47" bestFit="1" customWidth="1"/>
    <col min="36" max="36" width="13.6640625" style="47" bestFit="1" customWidth="1"/>
    <col min="37" max="37" width="10.08203125" style="47" bestFit="1" customWidth="1"/>
    <col min="38" max="38" width="10.4140625" style="47" bestFit="1" customWidth="1"/>
    <col min="39" max="39" width="13.9140625" style="47" bestFit="1" customWidth="1"/>
    <col min="40" max="40" width="10.83203125" style="47" bestFit="1" customWidth="1"/>
    <col min="41" max="41" width="9.9140625" style="47" bestFit="1" customWidth="1"/>
    <col min="42" max="42" width="12.9140625" style="47" bestFit="1" customWidth="1"/>
    <col min="43" max="43" width="13.25" style="47" bestFit="1" customWidth="1"/>
    <col min="44" max="44" width="10.58203125" style="47" bestFit="1" customWidth="1"/>
    <col min="45" max="45" width="14.6640625" style="47" bestFit="1" customWidth="1"/>
    <col min="46" max="46" width="13" style="47" bestFit="1" customWidth="1"/>
    <col min="47" max="47" width="10.75" style="47" bestFit="1" customWidth="1"/>
    <col min="48" max="48" width="11" style="47" bestFit="1" customWidth="1"/>
    <col min="49" max="50" width="10.5" style="47" bestFit="1" customWidth="1"/>
    <col min="51" max="51" width="13.9140625" style="47" bestFit="1" customWidth="1"/>
    <col min="52" max="52" width="16.1640625" style="47" bestFit="1" customWidth="1"/>
    <col min="53" max="53" width="8.83203125" style="47" bestFit="1" customWidth="1"/>
    <col min="54" max="54" width="11.25" style="47" bestFit="1" customWidth="1"/>
    <col min="55" max="55" width="10.83203125" style="47" bestFit="1" customWidth="1"/>
    <col min="56" max="56" width="28.33203125" style="47" bestFit="1" customWidth="1"/>
    <col min="57" max="57" width="12.58203125" style="47" bestFit="1" customWidth="1"/>
    <col min="58" max="58" width="9.75" style="47" bestFit="1" customWidth="1"/>
    <col min="59" max="59" width="14.25" style="47" bestFit="1" customWidth="1"/>
    <col min="60" max="60" width="12.58203125" style="47" bestFit="1" customWidth="1"/>
    <col min="61" max="61" width="18.9140625" style="47" bestFit="1" customWidth="1"/>
    <col min="62" max="62" width="12.4140625" style="47" bestFit="1" customWidth="1"/>
    <col min="63" max="63" width="11.1640625" style="47" bestFit="1" customWidth="1"/>
    <col min="64" max="64" width="14.33203125" style="47" bestFit="1" customWidth="1"/>
    <col min="65" max="65" width="12.9140625" style="47" bestFit="1" customWidth="1"/>
    <col min="66" max="66" width="15.75" style="47" bestFit="1" customWidth="1"/>
    <col min="67" max="67" width="15.83203125" style="47" bestFit="1" customWidth="1"/>
    <col min="68" max="68" width="12.08203125" style="47" bestFit="1" customWidth="1"/>
    <col min="69" max="69" width="12.4140625" style="47" bestFit="1" customWidth="1"/>
    <col min="70" max="70" width="13.83203125" style="47" bestFit="1" customWidth="1"/>
    <col min="71" max="71" width="9.9140625" style="47" bestFit="1" customWidth="1"/>
    <col min="72" max="72" width="12.9140625" style="47" bestFit="1" customWidth="1"/>
    <col min="73" max="73" width="12" style="47" bestFit="1" customWidth="1"/>
    <col min="74" max="74" width="10.58203125" style="47" bestFit="1" customWidth="1"/>
    <col min="75" max="75" width="11.6640625" style="47" bestFit="1" customWidth="1"/>
    <col min="76" max="76" width="14.58203125" style="47" bestFit="1" customWidth="1"/>
    <col min="77" max="77" width="12.58203125" style="47" bestFit="1" customWidth="1"/>
    <col min="78" max="78" width="10.83203125" style="47" bestFit="1" customWidth="1"/>
    <col min="79" max="79" width="12.1640625" style="47" bestFit="1" customWidth="1"/>
    <col min="80" max="80" width="12.5" style="47" bestFit="1" customWidth="1"/>
    <col min="81" max="81" width="10.83203125" style="47" bestFit="1" customWidth="1"/>
    <col min="82" max="82" width="15.75" style="47" bestFit="1" customWidth="1"/>
    <col min="83" max="83" width="13.08203125" style="47" bestFit="1" customWidth="1"/>
    <col min="84" max="84" width="10.4140625" style="47" bestFit="1" customWidth="1"/>
    <col min="85" max="85" width="14.08203125" style="47" bestFit="1" customWidth="1"/>
    <col min="86" max="86" width="29.08203125" style="47" bestFit="1" customWidth="1"/>
    <col min="87" max="87" width="14.75" style="47" bestFit="1" customWidth="1"/>
    <col min="88" max="88" width="12.5" style="47" bestFit="1" customWidth="1"/>
    <col min="89" max="89" width="9.33203125" style="47" bestFit="1" customWidth="1"/>
    <col min="90" max="90" width="13.33203125" style="47" bestFit="1" customWidth="1"/>
    <col min="91" max="91" width="12" style="47" bestFit="1" customWidth="1"/>
    <col min="92" max="16384" width="12.58203125" style="47"/>
  </cols>
  <sheetData>
    <row r="1" spans="1:91" ht="72.5" x14ac:dyDescent="0.35">
      <c r="A1" s="38" t="s">
        <v>0</v>
      </c>
      <c r="B1" s="39" t="s">
        <v>1</v>
      </c>
      <c r="C1" s="71" t="s">
        <v>896</v>
      </c>
      <c r="D1" s="71" t="s">
        <v>897</v>
      </c>
      <c r="E1" s="71" t="s">
        <v>898</v>
      </c>
      <c r="F1" s="71" t="s">
        <v>899</v>
      </c>
      <c r="G1" s="71" t="s">
        <v>900</v>
      </c>
      <c r="H1" s="71" t="s">
        <v>901</v>
      </c>
      <c r="I1" s="71" t="s">
        <v>902</v>
      </c>
      <c r="J1" s="71" t="s">
        <v>903</v>
      </c>
      <c r="K1" s="71" t="s">
        <v>904</v>
      </c>
      <c r="L1" s="71" t="s">
        <v>905</v>
      </c>
      <c r="M1" s="71" t="s">
        <v>906</v>
      </c>
      <c r="N1" s="71" t="s">
        <v>907</v>
      </c>
      <c r="O1" s="71" t="s">
        <v>908</v>
      </c>
      <c r="P1" s="71" t="s">
        <v>909</v>
      </c>
      <c r="Q1" s="71" t="s">
        <v>910</v>
      </c>
      <c r="R1" s="71" t="s">
        <v>911</v>
      </c>
      <c r="S1" s="71" t="s">
        <v>912</v>
      </c>
      <c r="T1" s="71" t="s">
        <v>913</v>
      </c>
      <c r="U1" s="71" t="s">
        <v>914</v>
      </c>
      <c r="V1" s="72" t="s">
        <v>915</v>
      </c>
      <c r="W1" s="71" t="s">
        <v>916</v>
      </c>
      <c r="X1" s="71" t="s">
        <v>917</v>
      </c>
      <c r="Y1" s="71" t="s">
        <v>918</v>
      </c>
      <c r="Z1" s="71" t="s">
        <v>919</v>
      </c>
      <c r="AA1" s="71" t="s">
        <v>920</v>
      </c>
      <c r="AB1" s="71" t="s">
        <v>921</v>
      </c>
      <c r="AC1" s="71" t="s">
        <v>922</v>
      </c>
      <c r="AD1" s="71" t="s">
        <v>923</v>
      </c>
      <c r="AE1" s="71" t="s">
        <v>924</v>
      </c>
      <c r="AF1" s="71" t="s">
        <v>925</v>
      </c>
      <c r="AG1" s="71" t="s">
        <v>926</v>
      </c>
      <c r="AH1" s="71" t="s">
        <v>927</v>
      </c>
      <c r="AI1" s="71" t="s">
        <v>928</v>
      </c>
      <c r="AJ1" s="71" t="s">
        <v>929</v>
      </c>
      <c r="AK1" s="71" t="s">
        <v>930</v>
      </c>
      <c r="AL1" s="71" t="s">
        <v>931</v>
      </c>
      <c r="AM1" s="71" t="s">
        <v>932</v>
      </c>
      <c r="AN1" s="71" t="s">
        <v>933</v>
      </c>
      <c r="AO1" s="71" t="s">
        <v>934</v>
      </c>
      <c r="AP1" s="71" t="s">
        <v>935</v>
      </c>
      <c r="AQ1" s="71" t="s">
        <v>936</v>
      </c>
      <c r="AR1" s="71" t="s">
        <v>937</v>
      </c>
      <c r="AS1" s="71" t="s">
        <v>938</v>
      </c>
      <c r="AT1" s="71" t="s">
        <v>939</v>
      </c>
      <c r="AU1" s="71" t="s">
        <v>940</v>
      </c>
      <c r="AV1" s="72" t="s">
        <v>941</v>
      </c>
      <c r="AW1" s="71" t="s">
        <v>942</v>
      </c>
      <c r="AX1" s="71" t="s">
        <v>943</v>
      </c>
      <c r="AY1" s="71" t="s">
        <v>944</v>
      </c>
      <c r="AZ1" s="71" t="s">
        <v>945</v>
      </c>
      <c r="BA1" s="71" t="s">
        <v>946</v>
      </c>
      <c r="BB1" s="71" t="s">
        <v>947</v>
      </c>
      <c r="BC1" s="72" t="s">
        <v>948</v>
      </c>
      <c r="BD1" s="71" t="s">
        <v>949</v>
      </c>
      <c r="BE1" s="72" t="s">
        <v>950</v>
      </c>
      <c r="BF1" s="71" t="s">
        <v>951</v>
      </c>
      <c r="BG1" s="71" t="s">
        <v>952</v>
      </c>
      <c r="BH1" s="71" t="s">
        <v>953</v>
      </c>
      <c r="BI1" s="71" t="s">
        <v>954</v>
      </c>
      <c r="BJ1" s="72" t="s">
        <v>955</v>
      </c>
      <c r="BK1" s="71" t="s">
        <v>956</v>
      </c>
      <c r="BL1" s="71" t="s">
        <v>957</v>
      </c>
      <c r="BM1" s="71" t="s">
        <v>958</v>
      </c>
      <c r="BN1" s="71" t="s">
        <v>959</v>
      </c>
      <c r="BO1" s="71" t="s">
        <v>960</v>
      </c>
      <c r="BP1" s="71" t="s">
        <v>961</v>
      </c>
      <c r="BQ1" s="71" t="s">
        <v>962</v>
      </c>
      <c r="BR1" s="71" t="s">
        <v>963</v>
      </c>
      <c r="BS1" s="71" t="s">
        <v>964</v>
      </c>
      <c r="BT1" s="71" t="s">
        <v>965</v>
      </c>
      <c r="BU1" s="71" t="s">
        <v>966</v>
      </c>
      <c r="BV1" s="71" t="s">
        <v>967</v>
      </c>
      <c r="BW1" s="71" t="s">
        <v>968</v>
      </c>
      <c r="BX1" s="71" t="s">
        <v>969</v>
      </c>
      <c r="BY1" s="71" t="s">
        <v>970</v>
      </c>
      <c r="BZ1" s="72" t="s">
        <v>971</v>
      </c>
      <c r="CA1" s="71" t="s">
        <v>972</v>
      </c>
      <c r="CB1" s="71" t="s">
        <v>973</v>
      </c>
      <c r="CC1" s="71" t="s">
        <v>974</v>
      </c>
      <c r="CD1" s="71" t="s">
        <v>975</v>
      </c>
      <c r="CE1" s="71" t="s">
        <v>976</v>
      </c>
      <c r="CF1" s="71" t="s">
        <v>977</v>
      </c>
      <c r="CG1" s="72" t="s">
        <v>978</v>
      </c>
      <c r="CH1" s="71" t="s">
        <v>979</v>
      </c>
      <c r="CI1" s="72" t="s">
        <v>980</v>
      </c>
      <c r="CJ1" s="71" t="s">
        <v>981</v>
      </c>
      <c r="CK1" s="71" t="s">
        <v>982</v>
      </c>
      <c r="CL1" s="72" t="s">
        <v>983</v>
      </c>
      <c r="CM1" s="38" t="s">
        <v>984</v>
      </c>
    </row>
    <row r="2" spans="1:91" x14ac:dyDescent="0.35">
      <c r="A2" s="40" t="s">
        <v>64</v>
      </c>
      <c r="B2" s="41" t="s">
        <v>65</v>
      </c>
      <c r="C2" s="73" t="s">
        <v>985</v>
      </c>
      <c r="D2" s="40" t="s">
        <v>986</v>
      </c>
      <c r="E2" s="40" t="s">
        <v>987</v>
      </c>
      <c r="F2" s="40" t="s">
        <v>988</v>
      </c>
      <c r="G2" s="40" t="s">
        <v>989</v>
      </c>
      <c r="H2" s="40" t="s">
        <v>990</v>
      </c>
      <c r="I2" s="40" t="s">
        <v>991</v>
      </c>
      <c r="J2" s="40" t="s">
        <v>992</v>
      </c>
      <c r="K2" s="40" t="s">
        <v>993</v>
      </c>
      <c r="L2" s="40" t="s">
        <v>994</v>
      </c>
      <c r="M2" s="40" t="s">
        <v>995</v>
      </c>
      <c r="N2" s="40" t="s">
        <v>996</v>
      </c>
      <c r="O2" s="40" t="s">
        <v>997</v>
      </c>
      <c r="P2" s="40" t="s">
        <v>998</v>
      </c>
      <c r="Q2" s="40" t="s">
        <v>999</v>
      </c>
      <c r="R2" s="40" t="s">
        <v>1000</v>
      </c>
      <c r="S2" s="40" t="s">
        <v>1001</v>
      </c>
      <c r="T2" s="40" t="s">
        <v>1002</v>
      </c>
      <c r="U2" s="40" t="s">
        <v>1003</v>
      </c>
      <c r="V2" s="74" t="s">
        <v>1004</v>
      </c>
      <c r="W2" s="75" t="s">
        <v>1005</v>
      </c>
      <c r="X2" s="40" t="s">
        <v>1006</v>
      </c>
      <c r="Y2" s="40" t="s">
        <v>1007</v>
      </c>
      <c r="Z2" s="40" t="s">
        <v>1008</v>
      </c>
      <c r="AA2" s="40" t="s">
        <v>1009</v>
      </c>
      <c r="AB2" s="40" t="s">
        <v>1010</v>
      </c>
      <c r="AC2" s="40" t="s">
        <v>1011</v>
      </c>
      <c r="AD2" s="40" t="s">
        <v>1012</v>
      </c>
      <c r="AE2" s="76" t="s">
        <v>1013</v>
      </c>
      <c r="AF2" s="76" t="s">
        <v>1014</v>
      </c>
      <c r="AG2" s="76" t="s">
        <v>1015</v>
      </c>
      <c r="AH2" s="76" t="s">
        <v>1016</v>
      </c>
      <c r="AI2" s="76" t="s">
        <v>1017</v>
      </c>
      <c r="AJ2" s="76" t="s">
        <v>1018</v>
      </c>
      <c r="AK2" s="76" t="s">
        <v>1019</v>
      </c>
      <c r="AL2" s="76" t="s">
        <v>1020</v>
      </c>
      <c r="AM2" s="76" t="s">
        <v>1021</v>
      </c>
      <c r="AN2" s="76" t="s">
        <v>1022</v>
      </c>
      <c r="AO2" s="76" t="s">
        <v>1023</v>
      </c>
      <c r="AP2" s="76" t="s">
        <v>1024</v>
      </c>
      <c r="AQ2" s="76" t="s">
        <v>1025</v>
      </c>
      <c r="AR2" s="76" t="s">
        <v>1026</v>
      </c>
      <c r="AS2" s="76" t="s">
        <v>1027</v>
      </c>
      <c r="AT2" s="76" t="s">
        <v>1028</v>
      </c>
      <c r="AU2" s="76" t="s">
        <v>1029</v>
      </c>
      <c r="AV2" s="77" t="s">
        <v>1030</v>
      </c>
      <c r="AW2" s="76" t="s">
        <v>1031</v>
      </c>
      <c r="AX2" s="76" t="s">
        <v>1032</v>
      </c>
      <c r="AY2" s="76" t="s">
        <v>1033</v>
      </c>
      <c r="AZ2" s="76" t="s">
        <v>1034</v>
      </c>
      <c r="BA2" s="76" t="s">
        <v>1035</v>
      </c>
      <c r="BB2" s="76" t="s">
        <v>1036</v>
      </c>
      <c r="BC2" s="77" t="s">
        <v>1037</v>
      </c>
      <c r="BD2" s="76" t="s">
        <v>1038</v>
      </c>
      <c r="BE2" s="77" t="s">
        <v>1039</v>
      </c>
      <c r="BF2" s="76" t="s">
        <v>1040</v>
      </c>
      <c r="BG2" s="76" t="s">
        <v>1041</v>
      </c>
      <c r="BH2" s="76" t="s">
        <v>1042</v>
      </c>
      <c r="BI2" s="76" t="s">
        <v>1043</v>
      </c>
      <c r="BJ2" s="77" t="s">
        <v>1044</v>
      </c>
      <c r="BK2" s="76" t="s">
        <v>1045</v>
      </c>
      <c r="BL2" s="76" t="s">
        <v>1046</v>
      </c>
      <c r="BM2" s="76" t="s">
        <v>1047</v>
      </c>
      <c r="BN2" s="76" t="s">
        <v>1048</v>
      </c>
      <c r="BO2" s="76" t="s">
        <v>1049</v>
      </c>
      <c r="BP2" s="76" t="s">
        <v>1050</v>
      </c>
      <c r="BQ2" s="76" t="s">
        <v>1051</v>
      </c>
      <c r="BR2" s="76" t="s">
        <v>1052</v>
      </c>
      <c r="BS2" s="76" t="s">
        <v>1053</v>
      </c>
      <c r="BT2" s="76" t="s">
        <v>1054</v>
      </c>
      <c r="BU2" s="76" t="s">
        <v>1055</v>
      </c>
      <c r="BV2" s="76" t="s">
        <v>1056</v>
      </c>
      <c r="BW2" s="76" t="s">
        <v>1057</v>
      </c>
      <c r="BX2" s="76" t="s">
        <v>1058</v>
      </c>
      <c r="BY2" s="76" t="s">
        <v>1059</v>
      </c>
      <c r="BZ2" s="77" t="s">
        <v>1060</v>
      </c>
      <c r="CA2" s="76" t="s">
        <v>1061</v>
      </c>
      <c r="CB2" s="76" t="s">
        <v>1062</v>
      </c>
      <c r="CC2" s="76" t="s">
        <v>1063</v>
      </c>
      <c r="CD2" s="76" t="s">
        <v>1064</v>
      </c>
      <c r="CE2" s="76" t="s">
        <v>1065</v>
      </c>
      <c r="CF2" s="76" t="s">
        <v>1066</v>
      </c>
      <c r="CG2" s="77" t="s">
        <v>1067</v>
      </c>
      <c r="CH2" s="76" t="s">
        <v>1068</v>
      </c>
      <c r="CI2" s="77" t="s">
        <v>1069</v>
      </c>
      <c r="CJ2" s="76" t="s">
        <v>1070</v>
      </c>
      <c r="CK2" s="76" t="s">
        <v>1071</v>
      </c>
      <c r="CL2" s="77" t="s">
        <v>1072</v>
      </c>
    </row>
    <row r="3" spans="1:91" x14ac:dyDescent="0.35">
      <c r="A3" s="3" t="s">
        <v>319</v>
      </c>
      <c r="B3" s="42">
        <v>2001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>
        <f t="shared" ref="V3:V22" si="0">SUM(C3:U3)</f>
        <v>0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>
        <f t="shared" ref="AV3:AV22" si="1">SUM(W3:AU3)</f>
        <v>0</v>
      </c>
      <c r="AW3" s="43"/>
      <c r="AX3" s="43"/>
      <c r="AY3" s="43"/>
      <c r="AZ3" s="43"/>
      <c r="BA3" s="43"/>
      <c r="BB3" s="43"/>
      <c r="BC3" s="44">
        <f t="shared" ref="BC3:BC22" si="2">SUM(AW3:BB3)</f>
        <v>0</v>
      </c>
      <c r="BD3" s="43"/>
      <c r="BE3" s="44">
        <f>SUM(BD3:BD3)</f>
        <v>0</v>
      </c>
      <c r="BF3" s="43"/>
      <c r="BG3" s="43"/>
      <c r="BH3" s="43"/>
      <c r="BI3" s="43"/>
      <c r="BJ3" s="44">
        <f t="shared" ref="BJ3:BJ22" si="3">SUM(BF3:BI3)</f>
        <v>0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4">
        <f t="shared" ref="BZ3:BZ22" si="4">SUM(BK3:BY3)</f>
        <v>0</v>
      </c>
      <c r="CA3" s="43"/>
      <c r="CB3" s="43"/>
      <c r="CC3" s="43"/>
      <c r="CD3" s="43"/>
      <c r="CE3" s="43"/>
      <c r="CF3" s="43"/>
      <c r="CG3" s="44">
        <f t="shared" ref="CG3:CG22" si="5">SUM(CA3:CF3)</f>
        <v>0</v>
      </c>
      <c r="CH3" s="43"/>
      <c r="CI3" s="44">
        <f t="shared" ref="CI3:CI22" si="6">SUM(CH3:CH3)</f>
        <v>0</v>
      </c>
      <c r="CJ3" s="43"/>
      <c r="CK3" s="43"/>
      <c r="CL3" s="44">
        <f t="shared" ref="CL3:CL22" si="7">SUM(CJ3:CK3)</f>
        <v>0</v>
      </c>
      <c r="CM3" s="69">
        <f>V3+AV3+BC3+BE3+BJ3+BZ3+CG3+CI3</f>
        <v>0</v>
      </c>
    </row>
    <row r="4" spans="1:91" x14ac:dyDescent="0.35">
      <c r="A4" s="3" t="s">
        <v>319</v>
      </c>
      <c r="B4" s="42">
        <v>2002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>
        <f t="shared" si="0"/>
        <v>0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>
        <f t="shared" si="1"/>
        <v>0</v>
      </c>
      <c r="AW4" s="43"/>
      <c r="AX4" s="43"/>
      <c r="AY4" s="43"/>
      <c r="AZ4" s="43"/>
      <c r="BA4" s="43"/>
      <c r="BB4" s="43"/>
      <c r="BC4" s="44">
        <f t="shared" si="2"/>
        <v>0</v>
      </c>
      <c r="BD4" s="43"/>
      <c r="BE4" s="44">
        <f t="shared" ref="BE4:BE23" si="8">SUM(BD4:BD4)</f>
        <v>0</v>
      </c>
      <c r="BF4" s="43"/>
      <c r="BG4" s="43"/>
      <c r="BH4" s="43"/>
      <c r="BI4" s="43"/>
      <c r="BJ4" s="44">
        <f t="shared" si="3"/>
        <v>0</v>
      </c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>
        <f t="shared" si="4"/>
        <v>0</v>
      </c>
      <c r="CA4" s="43"/>
      <c r="CB4" s="43"/>
      <c r="CC4" s="43"/>
      <c r="CD4" s="43"/>
      <c r="CE4" s="43"/>
      <c r="CF4" s="43"/>
      <c r="CG4" s="44">
        <f t="shared" si="5"/>
        <v>0</v>
      </c>
      <c r="CH4" s="43"/>
      <c r="CI4" s="44">
        <f t="shared" si="6"/>
        <v>0</v>
      </c>
      <c r="CJ4" s="43"/>
      <c r="CK4" s="43"/>
      <c r="CL4" s="44">
        <f t="shared" si="7"/>
        <v>0</v>
      </c>
      <c r="CM4" s="69">
        <f t="shared" ref="CM4:CM23" si="9">V4+AV4+BC4+BE4+BJ4+BZ4+CG4+CI4</f>
        <v>0</v>
      </c>
    </row>
    <row r="5" spans="1:91" x14ac:dyDescent="0.35">
      <c r="A5" s="3" t="s">
        <v>319</v>
      </c>
      <c r="B5" s="42">
        <v>2003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f t="shared" si="0"/>
        <v>0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f t="shared" si="1"/>
        <v>0</v>
      </c>
      <c r="AW5" s="43"/>
      <c r="AX5" s="43"/>
      <c r="AY5" s="43"/>
      <c r="AZ5" s="43"/>
      <c r="BA5" s="43"/>
      <c r="BB5" s="43"/>
      <c r="BC5" s="44">
        <f t="shared" si="2"/>
        <v>0</v>
      </c>
      <c r="BD5" s="43"/>
      <c r="BE5" s="44">
        <f t="shared" si="8"/>
        <v>0</v>
      </c>
      <c r="BF5" s="43"/>
      <c r="BG5" s="43"/>
      <c r="BH5" s="43"/>
      <c r="BI5" s="43"/>
      <c r="BJ5" s="44">
        <f t="shared" si="3"/>
        <v>0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4">
        <f t="shared" si="4"/>
        <v>0</v>
      </c>
      <c r="CA5" s="43"/>
      <c r="CB5" s="43"/>
      <c r="CC5" s="43"/>
      <c r="CD5" s="43"/>
      <c r="CE5" s="43"/>
      <c r="CF5" s="43"/>
      <c r="CG5" s="44">
        <f t="shared" si="5"/>
        <v>0</v>
      </c>
      <c r="CH5" s="43"/>
      <c r="CI5" s="44">
        <f t="shared" si="6"/>
        <v>0</v>
      </c>
      <c r="CJ5" s="43"/>
      <c r="CK5" s="43"/>
      <c r="CL5" s="44">
        <f t="shared" si="7"/>
        <v>0</v>
      </c>
      <c r="CM5" s="69">
        <f t="shared" si="9"/>
        <v>0</v>
      </c>
    </row>
    <row r="6" spans="1:91" x14ac:dyDescent="0.35">
      <c r="A6" s="3" t="s">
        <v>319</v>
      </c>
      <c r="B6" s="42">
        <v>2004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>
        <f t="shared" si="0"/>
        <v>0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4">
        <f t="shared" si="1"/>
        <v>0</v>
      </c>
      <c r="AW6" s="43"/>
      <c r="AX6" s="43"/>
      <c r="AY6" s="43"/>
      <c r="AZ6" s="43"/>
      <c r="BA6" s="43"/>
      <c r="BB6" s="43"/>
      <c r="BC6" s="44">
        <f t="shared" si="2"/>
        <v>0</v>
      </c>
      <c r="BD6" s="43"/>
      <c r="BE6" s="44">
        <f t="shared" si="8"/>
        <v>0</v>
      </c>
      <c r="BF6" s="43"/>
      <c r="BG6" s="43"/>
      <c r="BH6" s="43"/>
      <c r="BI6" s="43"/>
      <c r="BJ6" s="44">
        <f t="shared" si="3"/>
        <v>0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>
        <f t="shared" si="4"/>
        <v>0</v>
      </c>
      <c r="CA6" s="43"/>
      <c r="CB6" s="43"/>
      <c r="CC6" s="43"/>
      <c r="CD6" s="43"/>
      <c r="CE6" s="43"/>
      <c r="CF6" s="43"/>
      <c r="CG6" s="44">
        <f t="shared" si="5"/>
        <v>0</v>
      </c>
      <c r="CH6" s="43"/>
      <c r="CI6" s="44">
        <f t="shared" si="6"/>
        <v>0</v>
      </c>
      <c r="CJ6" s="43"/>
      <c r="CK6" s="43"/>
      <c r="CL6" s="44">
        <f t="shared" si="7"/>
        <v>0</v>
      </c>
      <c r="CM6" s="69">
        <f t="shared" si="9"/>
        <v>0</v>
      </c>
    </row>
    <row r="7" spans="1:91" x14ac:dyDescent="0.35">
      <c r="A7" s="3" t="s">
        <v>319</v>
      </c>
      <c r="B7" s="42">
        <v>2005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4">
        <f t="shared" si="0"/>
        <v>0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4">
        <f t="shared" si="1"/>
        <v>0</v>
      </c>
      <c r="AW7" s="43"/>
      <c r="AX7" s="43"/>
      <c r="AY7" s="43"/>
      <c r="AZ7" s="43"/>
      <c r="BA7" s="43"/>
      <c r="BB7" s="43"/>
      <c r="BC7" s="44">
        <f t="shared" si="2"/>
        <v>0</v>
      </c>
      <c r="BD7" s="43"/>
      <c r="BE7" s="44">
        <f t="shared" si="8"/>
        <v>0</v>
      </c>
      <c r="BF7" s="43"/>
      <c r="BG7" s="43"/>
      <c r="BH7" s="43"/>
      <c r="BI7" s="43"/>
      <c r="BJ7" s="44">
        <f t="shared" si="3"/>
        <v>0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4">
        <f t="shared" si="4"/>
        <v>0</v>
      </c>
      <c r="CA7" s="43"/>
      <c r="CB7" s="43"/>
      <c r="CC7" s="43"/>
      <c r="CD7" s="43"/>
      <c r="CE7" s="43"/>
      <c r="CF7" s="43"/>
      <c r="CG7" s="44">
        <f t="shared" si="5"/>
        <v>0</v>
      </c>
      <c r="CH7" s="43"/>
      <c r="CI7" s="44">
        <f t="shared" si="6"/>
        <v>0</v>
      </c>
      <c r="CJ7" s="43"/>
      <c r="CK7" s="43"/>
      <c r="CL7" s="44">
        <f t="shared" si="7"/>
        <v>0</v>
      </c>
      <c r="CM7" s="69">
        <f t="shared" si="9"/>
        <v>0</v>
      </c>
    </row>
    <row r="8" spans="1:91" x14ac:dyDescent="0.35">
      <c r="A8" s="3" t="s">
        <v>319</v>
      </c>
      <c r="B8" s="42">
        <v>2006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4">
        <f t="shared" si="0"/>
        <v>0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4">
        <f t="shared" si="1"/>
        <v>0</v>
      </c>
      <c r="AW8" s="43"/>
      <c r="AX8" s="43"/>
      <c r="AY8" s="43"/>
      <c r="AZ8" s="43"/>
      <c r="BA8" s="43"/>
      <c r="BB8" s="43"/>
      <c r="BC8" s="44">
        <f t="shared" si="2"/>
        <v>0</v>
      </c>
      <c r="BD8" s="43"/>
      <c r="BE8" s="44">
        <f t="shared" si="8"/>
        <v>0</v>
      </c>
      <c r="BF8" s="43"/>
      <c r="BG8" s="43"/>
      <c r="BH8" s="43"/>
      <c r="BI8" s="43"/>
      <c r="BJ8" s="44">
        <f t="shared" si="3"/>
        <v>0</v>
      </c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4">
        <f t="shared" si="4"/>
        <v>0</v>
      </c>
      <c r="CA8" s="43"/>
      <c r="CB8" s="43"/>
      <c r="CC8" s="43"/>
      <c r="CD8" s="43"/>
      <c r="CE8" s="43"/>
      <c r="CF8" s="43"/>
      <c r="CG8" s="44">
        <f t="shared" si="5"/>
        <v>0</v>
      </c>
      <c r="CH8" s="43"/>
      <c r="CI8" s="44">
        <f t="shared" si="6"/>
        <v>0</v>
      </c>
      <c r="CJ8" s="43"/>
      <c r="CK8" s="43"/>
      <c r="CL8" s="44">
        <f t="shared" si="7"/>
        <v>0</v>
      </c>
      <c r="CM8" s="69">
        <f t="shared" si="9"/>
        <v>0</v>
      </c>
    </row>
    <row r="9" spans="1:91" x14ac:dyDescent="0.35">
      <c r="A9" s="3" t="s">
        <v>319</v>
      </c>
      <c r="B9" s="42">
        <v>2007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>
        <f t="shared" si="0"/>
        <v>0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4">
        <f t="shared" si="1"/>
        <v>0</v>
      </c>
      <c r="AW9" s="43"/>
      <c r="AX9" s="43"/>
      <c r="AY9" s="43"/>
      <c r="AZ9" s="43"/>
      <c r="BA9" s="43"/>
      <c r="BB9" s="43"/>
      <c r="BC9" s="44">
        <f t="shared" si="2"/>
        <v>0</v>
      </c>
      <c r="BD9" s="43"/>
      <c r="BE9" s="44">
        <f t="shared" si="8"/>
        <v>0</v>
      </c>
      <c r="BF9" s="43"/>
      <c r="BG9" s="43"/>
      <c r="BH9" s="43"/>
      <c r="BI9" s="43"/>
      <c r="BJ9" s="44">
        <f t="shared" si="3"/>
        <v>0</v>
      </c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4">
        <f t="shared" si="4"/>
        <v>0</v>
      </c>
      <c r="CA9" s="43"/>
      <c r="CB9" s="43"/>
      <c r="CC9" s="43"/>
      <c r="CD9" s="43"/>
      <c r="CE9" s="43"/>
      <c r="CF9" s="43"/>
      <c r="CG9" s="44">
        <f t="shared" si="5"/>
        <v>0</v>
      </c>
      <c r="CH9" s="43"/>
      <c r="CI9" s="44">
        <f t="shared" si="6"/>
        <v>0</v>
      </c>
      <c r="CJ9" s="43"/>
      <c r="CK9" s="43"/>
      <c r="CL9" s="44">
        <f t="shared" si="7"/>
        <v>0</v>
      </c>
      <c r="CM9" s="69">
        <f t="shared" si="9"/>
        <v>0</v>
      </c>
    </row>
    <row r="10" spans="1:91" x14ac:dyDescent="0.35">
      <c r="A10" s="3" t="s">
        <v>319</v>
      </c>
      <c r="B10" s="42">
        <v>2008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>
        <f t="shared" si="0"/>
        <v>0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4">
        <f t="shared" si="1"/>
        <v>0</v>
      </c>
      <c r="AW10" s="43"/>
      <c r="AX10" s="43"/>
      <c r="AY10" s="43"/>
      <c r="AZ10" s="43"/>
      <c r="BA10" s="43"/>
      <c r="BB10" s="43"/>
      <c r="BC10" s="44">
        <f t="shared" si="2"/>
        <v>0</v>
      </c>
      <c r="BD10" s="43"/>
      <c r="BE10" s="44">
        <f t="shared" si="8"/>
        <v>0</v>
      </c>
      <c r="BF10" s="43"/>
      <c r="BG10" s="43"/>
      <c r="BH10" s="43"/>
      <c r="BI10" s="43"/>
      <c r="BJ10" s="44">
        <f t="shared" si="3"/>
        <v>0</v>
      </c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4">
        <f t="shared" si="4"/>
        <v>0</v>
      </c>
      <c r="CA10" s="43"/>
      <c r="CB10" s="43"/>
      <c r="CC10" s="43"/>
      <c r="CD10" s="43"/>
      <c r="CE10" s="43"/>
      <c r="CF10" s="43"/>
      <c r="CG10" s="44">
        <f t="shared" si="5"/>
        <v>0</v>
      </c>
      <c r="CH10" s="43"/>
      <c r="CI10" s="44">
        <f t="shared" si="6"/>
        <v>0</v>
      </c>
      <c r="CJ10" s="43"/>
      <c r="CK10" s="43"/>
      <c r="CL10" s="44">
        <f t="shared" si="7"/>
        <v>0</v>
      </c>
      <c r="CM10" s="69">
        <f t="shared" si="9"/>
        <v>0</v>
      </c>
    </row>
    <row r="11" spans="1:91" x14ac:dyDescent="0.35">
      <c r="A11" s="3" t="s">
        <v>319</v>
      </c>
      <c r="B11" s="42">
        <v>2009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4">
        <f t="shared" si="0"/>
        <v>0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>
        <f t="shared" si="1"/>
        <v>0</v>
      </c>
      <c r="AW11" s="43"/>
      <c r="AX11" s="43"/>
      <c r="AY11" s="43"/>
      <c r="AZ11" s="43"/>
      <c r="BA11" s="43"/>
      <c r="BB11" s="43"/>
      <c r="BC11" s="44">
        <f t="shared" si="2"/>
        <v>0</v>
      </c>
      <c r="BD11" s="43"/>
      <c r="BE11" s="44">
        <f t="shared" si="8"/>
        <v>0</v>
      </c>
      <c r="BF11" s="43"/>
      <c r="BG11" s="43"/>
      <c r="BH11" s="43"/>
      <c r="BI11" s="43"/>
      <c r="BJ11" s="44">
        <f t="shared" si="3"/>
        <v>0</v>
      </c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4">
        <f t="shared" si="4"/>
        <v>0</v>
      </c>
      <c r="CA11" s="43"/>
      <c r="CB11" s="43"/>
      <c r="CC11" s="43"/>
      <c r="CD11" s="43"/>
      <c r="CE11" s="43"/>
      <c r="CF11" s="43"/>
      <c r="CG11" s="44">
        <f t="shared" si="5"/>
        <v>0</v>
      </c>
      <c r="CH11" s="43"/>
      <c r="CI11" s="44">
        <f t="shared" si="6"/>
        <v>0</v>
      </c>
      <c r="CJ11" s="43"/>
      <c r="CK11" s="43"/>
      <c r="CL11" s="44">
        <f t="shared" si="7"/>
        <v>0</v>
      </c>
      <c r="CM11" s="69">
        <f t="shared" si="9"/>
        <v>0</v>
      </c>
    </row>
    <row r="12" spans="1:91" x14ac:dyDescent="0.35">
      <c r="A12" s="3" t="s">
        <v>319</v>
      </c>
      <c r="B12" s="42">
        <v>2010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4">
        <f t="shared" si="0"/>
        <v>0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>
        <f t="shared" si="1"/>
        <v>0</v>
      </c>
      <c r="AW12" s="43"/>
      <c r="AX12" s="43"/>
      <c r="AY12" s="43"/>
      <c r="AZ12" s="43"/>
      <c r="BA12" s="43"/>
      <c r="BB12" s="43"/>
      <c r="BC12" s="44">
        <f t="shared" si="2"/>
        <v>0</v>
      </c>
      <c r="BD12" s="43"/>
      <c r="BE12" s="44">
        <f t="shared" si="8"/>
        <v>0</v>
      </c>
      <c r="BF12" s="43"/>
      <c r="BG12" s="43"/>
      <c r="BH12" s="43"/>
      <c r="BI12" s="43"/>
      <c r="BJ12" s="44">
        <f t="shared" si="3"/>
        <v>0</v>
      </c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4">
        <f t="shared" si="4"/>
        <v>0</v>
      </c>
      <c r="CA12" s="43"/>
      <c r="CB12" s="43"/>
      <c r="CC12" s="43"/>
      <c r="CD12" s="43"/>
      <c r="CE12" s="43"/>
      <c r="CF12" s="43"/>
      <c r="CG12" s="44">
        <f t="shared" si="5"/>
        <v>0</v>
      </c>
      <c r="CH12" s="43"/>
      <c r="CI12" s="44">
        <f t="shared" si="6"/>
        <v>0</v>
      </c>
      <c r="CJ12" s="43"/>
      <c r="CK12" s="43"/>
      <c r="CL12" s="44">
        <f t="shared" si="7"/>
        <v>0</v>
      </c>
      <c r="CM12" s="69">
        <f t="shared" si="9"/>
        <v>0</v>
      </c>
    </row>
    <row r="13" spans="1:91" x14ac:dyDescent="0.35">
      <c r="A13" s="3" t="s">
        <v>319</v>
      </c>
      <c r="B13" s="42">
        <v>2011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f t="shared" si="0"/>
        <v>0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>
        <f t="shared" si="1"/>
        <v>0</v>
      </c>
      <c r="AW13" s="43"/>
      <c r="AX13" s="43"/>
      <c r="AY13" s="43"/>
      <c r="AZ13" s="43"/>
      <c r="BA13" s="43"/>
      <c r="BB13" s="43"/>
      <c r="BC13" s="44">
        <f t="shared" si="2"/>
        <v>0</v>
      </c>
      <c r="BD13" s="43"/>
      <c r="BE13" s="44">
        <f t="shared" si="8"/>
        <v>0</v>
      </c>
      <c r="BF13" s="43"/>
      <c r="BG13" s="43"/>
      <c r="BH13" s="43"/>
      <c r="BI13" s="43"/>
      <c r="BJ13" s="44">
        <f t="shared" si="3"/>
        <v>0</v>
      </c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4">
        <f t="shared" si="4"/>
        <v>0</v>
      </c>
      <c r="CA13" s="43"/>
      <c r="CB13" s="43"/>
      <c r="CC13" s="43"/>
      <c r="CD13" s="43"/>
      <c r="CE13" s="43"/>
      <c r="CF13" s="43"/>
      <c r="CG13" s="44">
        <f t="shared" si="5"/>
        <v>0</v>
      </c>
      <c r="CH13" s="43"/>
      <c r="CI13" s="44">
        <f t="shared" si="6"/>
        <v>0</v>
      </c>
      <c r="CJ13" s="43"/>
      <c r="CK13" s="43"/>
      <c r="CL13" s="44">
        <f t="shared" si="7"/>
        <v>0</v>
      </c>
      <c r="CM13" s="69">
        <f t="shared" si="9"/>
        <v>0</v>
      </c>
    </row>
    <row r="14" spans="1:91" x14ac:dyDescent="0.35">
      <c r="A14" s="3" t="s">
        <v>319</v>
      </c>
      <c r="B14" s="42">
        <v>2012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>
        <f t="shared" si="0"/>
        <v>0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4">
        <f t="shared" si="1"/>
        <v>0</v>
      </c>
      <c r="AW14" s="43"/>
      <c r="AX14" s="43"/>
      <c r="AY14" s="43"/>
      <c r="AZ14" s="43"/>
      <c r="BA14" s="43"/>
      <c r="BB14" s="43"/>
      <c r="BC14" s="44">
        <f t="shared" si="2"/>
        <v>0</v>
      </c>
      <c r="BD14" s="43"/>
      <c r="BE14" s="44">
        <f t="shared" si="8"/>
        <v>0</v>
      </c>
      <c r="BF14" s="43"/>
      <c r="BG14" s="43"/>
      <c r="BH14" s="43"/>
      <c r="BI14" s="43"/>
      <c r="BJ14" s="44">
        <f t="shared" si="3"/>
        <v>0</v>
      </c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4">
        <f t="shared" si="4"/>
        <v>0</v>
      </c>
      <c r="CA14" s="43"/>
      <c r="CB14" s="43"/>
      <c r="CC14" s="43"/>
      <c r="CD14" s="43"/>
      <c r="CE14" s="43"/>
      <c r="CF14" s="43"/>
      <c r="CG14" s="44">
        <f t="shared" si="5"/>
        <v>0</v>
      </c>
      <c r="CH14" s="43"/>
      <c r="CI14" s="44">
        <f t="shared" si="6"/>
        <v>0</v>
      </c>
      <c r="CJ14" s="43"/>
      <c r="CK14" s="43"/>
      <c r="CL14" s="44">
        <f t="shared" si="7"/>
        <v>0</v>
      </c>
      <c r="CM14" s="69">
        <f t="shared" si="9"/>
        <v>0</v>
      </c>
    </row>
    <row r="15" spans="1:91" x14ac:dyDescent="0.35">
      <c r="A15" s="3" t="s">
        <v>319</v>
      </c>
      <c r="B15" s="42">
        <v>2013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>
        <f t="shared" si="0"/>
        <v>0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4">
        <f t="shared" si="1"/>
        <v>0</v>
      </c>
      <c r="AW15" s="43"/>
      <c r="AX15" s="43"/>
      <c r="AY15" s="43"/>
      <c r="AZ15" s="43"/>
      <c r="BA15" s="43"/>
      <c r="BB15" s="43"/>
      <c r="BC15" s="44">
        <f t="shared" si="2"/>
        <v>0</v>
      </c>
      <c r="BD15" s="43"/>
      <c r="BE15" s="44">
        <f t="shared" si="8"/>
        <v>0</v>
      </c>
      <c r="BF15" s="43"/>
      <c r="BG15" s="43"/>
      <c r="BH15" s="43"/>
      <c r="BI15" s="43"/>
      <c r="BJ15" s="44">
        <f t="shared" si="3"/>
        <v>0</v>
      </c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4">
        <f t="shared" si="4"/>
        <v>0</v>
      </c>
      <c r="CA15" s="43"/>
      <c r="CB15" s="43"/>
      <c r="CC15" s="43"/>
      <c r="CD15" s="43"/>
      <c r="CE15" s="43"/>
      <c r="CF15" s="43"/>
      <c r="CG15" s="44">
        <f t="shared" si="5"/>
        <v>0</v>
      </c>
      <c r="CH15" s="43"/>
      <c r="CI15" s="44">
        <f t="shared" si="6"/>
        <v>0</v>
      </c>
      <c r="CJ15" s="43"/>
      <c r="CK15" s="43"/>
      <c r="CL15" s="44">
        <f t="shared" si="7"/>
        <v>0</v>
      </c>
      <c r="CM15" s="69">
        <f t="shared" si="9"/>
        <v>0</v>
      </c>
    </row>
    <row r="16" spans="1:91" x14ac:dyDescent="0.35">
      <c r="A16" s="3" t="s">
        <v>319</v>
      </c>
      <c r="B16" s="42">
        <v>2014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4">
        <f t="shared" si="0"/>
        <v>0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4">
        <f t="shared" si="1"/>
        <v>0</v>
      </c>
      <c r="AW16" s="43"/>
      <c r="AX16" s="43"/>
      <c r="AY16" s="43"/>
      <c r="AZ16" s="43"/>
      <c r="BA16" s="43"/>
      <c r="BB16" s="43"/>
      <c r="BC16" s="44">
        <f t="shared" si="2"/>
        <v>0</v>
      </c>
      <c r="BD16" s="43"/>
      <c r="BE16" s="44">
        <f t="shared" si="8"/>
        <v>0</v>
      </c>
      <c r="BF16" s="43"/>
      <c r="BG16" s="43"/>
      <c r="BH16" s="43"/>
      <c r="BI16" s="43"/>
      <c r="BJ16" s="44">
        <f t="shared" si="3"/>
        <v>0</v>
      </c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4">
        <f t="shared" si="4"/>
        <v>0</v>
      </c>
      <c r="CA16" s="43"/>
      <c r="CB16" s="43"/>
      <c r="CC16" s="43"/>
      <c r="CD16" s="43"/>
      <c r="CE16" s="43"/>
      <c r="CF16" s="43"/>
      <c r="CG16" s="44">
        <f t="shared" si="5"/>
        <v>0</v>
      </c>
      <c r="CH16" s="43"/>
      <c r="CI16" s="44">
        <f t="shared" si="6"/>
        <v>0</v>
      </c>
      <c r="CJ16" s="43"/>
      <c r="CK16" s="43"/>
      <c r="CL16" s="44">
        <f t="shared" si="7"/>
        <v>0</v>
      </c>
      <c r="CM16" s="69">
        <f t="shared" si="9"/>
        <v>0</v>
      </c>
    </row>
    <row r="17" spans="1:91" x14ac:dyDescent="0.35">
      <c r="A17" s="3" t="s">
        <v>319</v>
      </c>
      <c r="B17" s="42">
        <v>2015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4">
        <f t="shared" si="0"/>
        <v>0</v>
      </c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4">
        <f t="shared" si="1"/>
        <v>0</v>
      </c>
      <c r="AW17" s="43"/>
      <c r="AX17" s="43"/>
      <c r="AY17" s="43"/>
      <c r="AZ17" s="43"/>
      <c r="BA17" s="43"/>
      <c r="BB17" s="43"/>
      <c r="BC17" s="44">
        <f t="shared" si="2"/>
        <v>0</v>
      </c>
      <c r="BD17" s="43"/>
      <c r="BE17" s="44">
        <f t="shared" si="8"/>
        <v>0</v>
      </c>
      <c r="BF17" s="43"/>
      <c r="BG17" s="43"/>
      <c r="BH17" s="43"/>
      <c r="BI17" s="43"/>
      <c r="BJ17" s="44">
        <f t="shared" si="3"/>
        <v>0</v>
      </c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4">
        <f t="shared" si="4"/>
        <v>0</v>
      </c>
      <c r="CA17" s="43"/>
      <c r="CB17" s="43"/>
      <c r="CC17" s="43"/>
      <c r="CD17" s="43"/>
      <c r="CE17" s="43"/>
      <c r="CF17" s="43"/>
      <c r="CG17" s="44">
        <f t="shared" si="5"/>
        <v>0</v>
      </c>
      <c r="CH17" s="43"/>
      <c r="CI17" s="44">
        <f t="shared" si="6"/>
        <v>0</v>
      </c>
      <c r="CJ17" s="43"/>
      <c r="CK17" s="43"/>
      <c r="CL17" s="44">
        <f t="shared" si="7"/>
        <v>0</v>
      </c>
      <c r="CM17" s="69">
        <f t="shared" si="9"/>
        <v>0</v>
      </c>
    </row>
    <row r="18" spans="1:91" x14ac:dyDescent="0.35">
      <c r="A18" s="3" t="s">
        <v>319</v>
      </c>
      <c r="B18" s="42">
        <v>2016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>
        <f t="shared" si="0"/>
        <v>0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4">
        <f t="shared" si="1"/>
        <v>0</v>
      </c>
      <c r="AW18" s="43"/>
      <c r="AX18" s="43"/>
      <c r="AY18" s="43"/>
      <c r="AZ18" s="43"/>
      <c r="BA18" s="43"/>
      <c r="BB18" s="43"/>
      <c r="BC18" s="44">
        <f t="shared" si="2"/>
        <v>0</v>
      </c>
      <c r="BD18" s="43"/>
      <c r="BE18" s="44">
        <f t="shared" si="8"/>
        <v>0</v>
      </c>
      <c r="BF18" s="43"/>
      <c r="BG18" s="43"/>
      <c r="BH18" s="43"/>
      <c r="BI18" s="43"/>
      <c r="BJ18" s="44">
        <f t="shared" si="3"/>
        <v>0</v>
      </c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4">
        <f t="shared" si="4"/>
        <v>0</v>
      </c>
      <c r="CA18" s="43"/>
      <c r="CB18" s="43"/>
      <c r="CC18" s="43"/>
      <c r="CD18" s="43"/>
      <c r="CE18" s="43"/>
      <c r="CF18" s="43"/>
      <c r="CG18" s="44">
        <f t="shared" si="5"/>
        <v>0</v>
      </c>
      <c r="CH18" s="43"/>
      <c r="CI18" s="44">
        <f t="shared" si="6"/>
        <v>0</v>
      </c>
      <c r="CJ18" s="43"/>
      <c r="CK18" s="43"/>
      <c r="CL18" s="44">
        <f t="shared" si="7"/>
        <v>0</v>
      </c>
      <c r="CM18" s="69">
        <f t="shared" si="9"/>
        <v>0</v>
      </c>
    </row>
    <row r="19" spans="1:91" x14ac:dyDescent="0.35">
      <c r="A19" s="3" t="s">
        <v>319</v>
      </c>
      <c r="B19" s="42">
        <v>2017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f t="shared" si="0"/>
        <v>0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>
        <f t="shared" si="1"/>
        <v>0</v>
      </c>
      <c r="AW19" s="43"/>
      <c r="AX19" s="43"/>
      <c r="AY19" s="43"/>
      <c r="AZ19" s="43"/>
      <c r="BA19" s="43"/>
      <c r="BB19" s="43"/>
      <c r="BC19" s="44">
        <f t="shared" si="2"/>
        <v>0</v>
      </c>
      <c r="BD19" s="43"/>
      <c r="BE19" s="44">
        <f t="shared" si="8"/>
        <v>0</v>
      </c>
      <c r="BF19" s="43"/>
      <c r="BG19" s="43"/>
      <c r="BH19" s="43"/>
      <c r="BI19" s="43"/>
      <c r="BJ19" s="44">
        <f t="shared" si="3"/>
        <v>0</v>
      </c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4">
        <f t="shared" si="4"/>
        <v>0</v>
      </c>
      <c r="CA19" s="43"/>
      <c r="CB19" s="43"/>
      <c r="CC19" s="43"/>
      <c r="CD19" s="43"/>
      <c r="CE19" s="43"/>
      <c r="CF19" s="43"/>
      <c r="CG19" s="44">
        <f t="shared" si="5"/>
        <v>0</v>
      </c>
      <c r="CH19" s="43"/>
      <c r="CI19" s="44">
        <f t="shared" si="6"/>
        <v>0</v>
      </c>
      <c r="CJ19" s="43"/>
      <c r="CK19" s="43"/>
      <c r="CL19" s="44">
        <f t="shared" si="7"/>
        <v>0</v>
      </c>
      <c r="CM19" s="69">
        <f t="shared" si="9"/>
        <v>0</v>
      </c>
    </row>
    <row r="20" spans="1:91" x14ac:dyDescent="0.35">
      <c r="A20" s="3" t="s">
        <v>319</v>
      </c>
      <c r="B20" s="42">
        <v>2018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4">
        <f t="shared" si="0"/>
        <v>0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>
        <f t="shared" si="1"/>
        <v>0</v>
      </c>
      <c r="AW20" s="43"/>
      <c r="AX20" s="43"/>
      <c r="AY20" s="43"/>
      <c r="AZ20" s="43"/>
      <c r="BA20" s="43"/>
      <c r="BB20" s="43"/>
      <c r="BC20" s="44">
        <f t="shared" si="2"/>
        <v>0</v>
      </c>
      <c r="BD20" s="43"/>
      <c r="BE20" s="44">
        <f t="shared" si="8"/>
        <v>0</v>
      </c>
      <c r="BF20" s="43"/>
      <c r="BG20" s="43"/>
      <c r="BH20" s="43"/>
      <c r="BI20" s="43"/>
      <c r="BJ20" s="44">
        <f t="shared" si="3"/>
        <v>0</v>
      </c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4">
        <f t="shared" si="4"/>
        <v>0</v>
      </c>
      <c r="CA20" s="43"/>
      <c r="CB20" s="43"/>
      <c r="CC20" s="43"/>
      <c r="CD20" s="43"/>
      <c r="CE20" s="43"/>
      <c r="CF20" s="43"/>
      <c r="CG20" s="44">
        <f t="shared" si="5"/>
        <v>0</v>
      </c>
      <c r="CH20" s="43"/>
      <c r="CI20" s="44">
        <f t="shared" si="6"/>
        <v>0</v>
      </c>
      <c r="CJ20" s="43"/>
      <c r="CK20" s="43"/>
      <c r="CL20" s="44">
        <f t="shared" si="7"/>
        <v>0</v>
      </c>
      <c r="CM20" s="69">
        <f t="shared" si="9"/>
        <v>0</v>
      </c>
    </row>
    <row r="21" spans="1:91" x14ac:dyDescent="0.35">
      <c r="A21" s="3" t="s">
        <v>319</v>
      </c>
      <c r="B21" s="42">
        <v>2019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>
        <f t="shared" si="0"/>
        <v>0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>
        <f t="shared" si="1"/>
        <v>0</v>
      </c>
      <c r="AW21" s="43"/>
      <c r="AX21" s="43"/>
      <c r="AY21" s="43"/>
      <c r="AZ21" s="43"/>
      <c r="BA21" s="43"/>
      <c r="BB21" s="43"/>
      <c r="BC21" s="44">
        <f t="shared" si="2"/>
        <v>0</v>
      </c>
      <c r="BD21" s="43"/>
      <c r="BE21" s="44">
        <f t="shared" si="8"/>
        <v>0</v>
      </c>
      <c r="BF21" s="43"/>
      <c r="BG21" s="43"/>
      <c r="BH21" s="43"/>
      <c r="BI21" s="43"/>
      <c r="BJ21" s="44">
        <f t="shared" si="3"/>
        <v>0</v>
      </c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4">
        <f t="shared" si="4"/>
        <v>0</v>
      </c>
      <c r="CA21" s="43"/>
      <c r="CB21" s="43"/>
      <c r="CC21" s="43"/>
      <c r="CD21" s="43"/>
      <c r="CE21" s="43"/>
      <c r="CF21" s="43"/>
      <c r="CG21" s="44">
        <f t="shared" si="5"/>
        <v>0</v>
      </c>
      <c r="CH21" s="43"/>
      <c r="CI21" s="44">
        <f t="shared" si="6"/>
        <v>0</v>
      </c>
      <c r="CJ21" s="43"/>
      <c r="CK21" s="43"/>
      <c r="CL21" s="44">
        <f t="shared" si="7"/>
        <v>0</v>
      </c>
      <c r="CM21" s="69">
        <f t="shared" si="9"/>
        <v>0</v>
      </c>
    </row>
    <row r="22" spans="1:91" x14ac:dyDescent="0.35">
      <c r="A22" s="3" t="s">
        <v>319</v>
      </c>
      <c r="B22" s="42">
        <v>2020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4">
        <f t="shared" si="0"/>
        <v>0</v>
      </c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>
        <f t="shared" si="1"/>
        <v>0</v>
      </c>
      <c r="AW22" s="43"/>
      <c r="AX22" s="43"/>
      <c r="AY22" s="43"/>
      <c r="AZ22" s="43"/>
      <c r="BA22" s="43"/>
      <c r="BB22" s="43"/>
      <c r="BC22" s="44">
        <f t="shared" si="2"/>
        <v>0</v>
      </c>
      <c r="BD22" s="43"/>
      <c r="BE22" s="44">
        <f t="shared" si="8"/>
        <v>0</v>
      </c>
      <c r="BF22" s="43"/>
      <c r="BG22" s="43"/>
      <c r="BH22" s="43"/>
      <c r="BI22" s="43"/>
      <c r="BJ22" s="44">
        <f t="shared" si="3"/>
        <v>0</v>
      </c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4">
        <f t="shared" si="4"/>
        <v>0</v>
      </c>
      <c r="CA22" s="43"/>
      <c r="CB22" s="43"/>
      <c r="CC22" s="43"/>
      <c r="CD22" s="43"/>
      <c r="CE22" s="43"/>
      <c r="CF22" s="43"/>
      <c r="CG22" s="44">
        <f t="shared" si="5"/>
        <v>0</v>
      </c>
      <c r="CH22" s="43"/>
      <c r="CI22" s="44">
        <f t="shared" si="6"/>
        <v>0</v>
      </c>
      <c r="CJ22" s="43"/>
      <c r="CK22" s="43"/>
      <c r="CL22" s="44">
        <f t="shared" si="7"/>
        <v>0</v>
      </c>
      <c r="CM22" s="69">
        <f t="shared" si="9"/>
        <v>0</v>
      </c>
    </row>
    <row r="23" spans="1:91" s="42" customFormat="1" x14ac:dyDescent="0.35">
      <c r="A23" s="3" t="s">
        <v>319</v>
      </c>
      <c r="B23" s="42">
        <v>2021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6">
        <f>SUM(C23:U23)</f>
        <v>0</v>
      </c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6">
        <f>SUM(W23:AU23)</f>
        <v>0</v>
      </c>
      <c r="AW23" s="45"/>
      <c r="AX23" s="45"/>
      <c r="AY23" s="45"/>
      <c r="AZ23" s="45"/>
      <c r="BA23" s="45"/>
      <c r="BB23" s="45"/>
      <c r="BC23" s="46">
        <f>SUM(AW23:BB23)</f>
        <v>0</v>
      </c>
      <c r="BD23" s="45"/>
      <c r="BE23" s="46">
        <f t="shared" si="8"/>
        <v>0</v>
      </c>
      <c r="BF23" s="45"/>
      <c r="BG23" s="45"/>
      <c r="BH23" s="45"/>
      <c r="BI23" s="45"/>
      <c r="BJ23" s="46">
        <f>SUM(BF23:BI23)</f>
        <v>0</v>
      </c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6">
        <f>SUM(BK23:BY23)</f>
        <v>0</v>
      </c>
      <c r="CA23" s="45"/>
      <c r="CB23" s="45"/>
      <c r="CC23" s="45"/>
      <c r="CD23" s="45"/>
      <c r="CE23" s="45"/>
      <c r="CF23" s="45"/>
      <c r="CG23" s="46">
        <f>SUM(CA23:CF23)</f>
        <v>0</v>
      </c>
      <c r="CH23" s="45"/>
      <c r="CI23" s="46">
        <f>SUM(CH23:CH23)</f>
        <v>0</v>
      </c>
      <c r="CJ23" s="45"/>
      <c r="CK23" s="45"/>
      <c r="CL23" s="46">
        <f>SUM(CJ23:CK23)</f>
        <v>0</v>
      </c>
      <c r="CM23" s="45">
        <f t="shared" si="9"/>
        <v>0</v>
      </c>
    </row>
    <row r="24" spans="1:91" s="42" customFormat="1" x14ac:dyDescent="0.35">
      <c r="A24" s="3" t="s">
        <v>319</v>
      </c>
      <c r="B24" s="42">
        <v>2022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>
        <f>SUM(C24:U24)</f>
        <v>0</v>
      </c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6">
        <f>SUM(W24:AU24)</f>
        <v>0</v>
      </c>
      <c r="AW24" s="45"/>
      <c r="AX24" s="45"/>
      <c r="AY24" s="45"/>
      <c r="AZ24" s="45"/>
      <c r="BA24" s="45"/>
      <c r="BB24" s="45"/>
      <c r="BC24" s="46">
        <f>SUM(AW24:BB24)</f>
        <v>0</v>
      </c>
      <c r="BD24" s="45"/>
      <c r="BE24" s="46">
        <f t="shared" ref="BE24" si="10">SUM(BD24:BD24)</f>
        <v>0</v>
      </c>
      <c r="BF24" s="45"/>
      <c r="BG24" s="45"/>
      <c r="BH24" s="45"/>
      <c r="BI24" s="45"/>
      <c r="BJ24" s="46">
        <f>SUM(BF24:BI24)</f>
        <v>0</v>
      </c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6">
        <f>SUM(BK24:BY24)</f>
        <v>0</v>
      </c>
      <c r="CA24" s="45"/>
      <c r="CB24" s="45"/>
      <c r="CC24" s="45"/>
      <c r="CD24" s="45"/>
      <c r="CE24" s="45"/>
      <c r="CF24" s="45"/>
      <c r="CG24" s="46">
        <f>SUM(CA24:CF24)</f>
        <v>0</v>
      </c>
      <c r="CH24" s="45"/>
      <c r="CI24" s="46">
        <f>SUM(CH24:CH24)</f>
        <v>0</v>
      </c>
      <c r="CJ24" s="45"/>
      <c r="CK24" s="45"/>
      <c r="CL24" s="46">
        <f>SUM(CJ24:CK24)</f>
        <v>0</v>
      </c>
      <c r="CM24" s="45">
        <f t="shared" ref="CM24" si="11">V24+AV24+BC24+BE24+BJ24+BZ24+CG24+CI24</f>
        <v>0</v>
      </c>
    </row>
    <row r="25" spans="1:91" x14ac:dyDescent="0.35">
      <c r="E25" s="48"/>
      <c r="H25" s="48"/>
      <c r="O25" s="49"/>
      <c r="Y25" s="48"/>
    </row>
    <row r="26" spans="1:91" x14ac:dyDescent="0.35">
      <c r="A26" s="50" t="s">
        <v>129</v>
      </c>
    </row>
    <row r="27" spans="1:91" x14ac:dyDescent="0.35">
      <c r="A27" s="3" t="s">
        <v>319</v>
      </c>
      <c r="B27" s="42">
        <v>2001</v>
      </c>
    </row>
    <row r="28" spans="1:91" x14ac:dyDescent="0.35">
      <c r="A28" s="3" t="s">
        <v>319</v>
      </c>
      <c r="B28" s="42">
        <v>2002</v>
      </c>
    </row>
    <row r="29" spans="1:91" x14ac:dyDescent="0.35">
      <c r="A29" s="3" t="s">
        <v>319</v>
      </c>
      <c r="B29" s="42">
        <v>2003</v>
      </c>
    </row>
    <row r="30" spans="1:91" x14ac:dyDescent="0.35">
      <c r="A30" s="3" t="s">
        <v>319</v>
      </c>
      <c r="B30" s="42">
        <v>2004</v>
      </c>
    </row>
    <row r="31" spans="1:91" x14ac:dyDescent="0.35">
      <c r="A31" s="3" t="s">
        <v>319</v>
      </c>
      <c r="B31" s="42">
        <v>2005</v>
      </c>
    </row>
    <row r="32" spans="1:91" x14ac:dyDescent="0.35">
      <c r="A32" s="3" t="s">
        <v>319</v>
      </c>
      <c r="B32" s="42">
        <v>2006</v>
      </c>
    </row>
    <row r="33" spans="1:14" x14ac:dyDescent="0.35">
      <c r="A33" s="3" t="s">
        <v>319</v>
      </c>
      <c r="B33" s="42">
        <v>2007</v>
      </c>
    </row>
    <row r="34" spans="1:14" x14ac:dyDescent="0.35">
      <c r="A34" s="3" t="s">
        <v>319</v>
      </c>
      <c r="B34" s="42">
        <v>2008</v>
      </c>
    </row>
    <row r="35" spans="1:14" x14ac:dyDescent="0.35">
      <c r="A35" s="3" t="s">
        <v>319</v>
      </c>
      <c r="B35" s="42">
        <v>2009</v>
      </c>
    </row>
    <row r="36" spans="1:14" x14ac:dyDescent="0.35">
      <c r="A36" s="3" t="s">
        <v>319</v>
      </c>
      <c r="B36" s="42">
        <v>2010</v>
      </c>
    </row>
    <row r="37" spans="1:14" x14ac:dyDescent="0.35">
      <c r="A37" s="3" t="s">
        <v>319</v>
      </c>
      <c r="B37" s="42">
        <v>2011</v>
      </c>
    </row>
    <row r="38" spans="1:14" x14ac:dyDescent="0.35">
      <c r="A38" s="3" t="s">
        <v>319</v>
      </c>
      <c r="B38" s="42">
        <v>2012</v>
      </c>
    </row>
    <row r="39" spans="1:14" x14ac:dyDescent="0.35">
      <c r="A39" s="3" t="s">
        <v>319</v>
      </c>
      <c r="B39" s="42">
        <v>2013</v>
      </c>
    </row>
    <row r="40" spans="1:14" x14ac:dyDescent="0.35">
      <c r="A40" s="3" t="s">
        <v>319</v>
      </c>
      <c r="B40" s="42">
        <v>2014</v>
      </c>
    </row>
    <row r="41" spans="1:14" x14ac:dyDescent="0.35">
      <c r="A41" s="3" t="s">
        <v>319</v>
      </c>
      <c r="B41" s="42">
        <v>2015</v>
      </c>
    </row>
    <row r="42" spans="1:14" x14ac:dyDescent="0.35">
      <c r="A42" s="3" t="s">
        <v>319</v>
      </c>
      <c r="B42" s="42">
        <v>2016</v>
      </c>
    </row>
    <row r="43" spans="1:14" x14ac:dyDescent="0.35">
      <c r="A43" s="3" t="s">
        <v>319</v>
      </c>
      <c r="B43" s="42">
        <v>2017</v>
      </c>
    </row>
    <row r="44" spans="1:14" x14ac:dyDescent="0.35">
      <c r="A44" s="3" t="s">
        <v>319</v>
      </c>
      <c r="B44" s="42">
        <v>2018</v>
      </c>
    </row>
    <row r="45" spans="1:14" x14ac:dyDescent="0.35">
      <c r="A45" s="3" t="s">
        <v>319</v>
      </c>
      <c r="B45" s="42">
        <v>2019</v>
      </c>
    </row>
    <row r="46" spans="1:14" x14ac:dyDescent="0.35">
      <c r="A46" s="3" t="s">
        <v>319</v>
      </c>
      <c r="B46" s="42">
        <v>2020</v>
      </c>
      <c r="N46" s="70"/>
    </row>
    <row r="47" spans="1:14" x14ac:dyDescent="0.35">
      <c r="A47" s="3" t="s">
        <v>319</v>
      </c>
      <c r="B47" s="42">
        <v>2021</v>
      </c>
    </row>
    <row r="48" spans="1:14" x14ac:dyDescent="0.35">
      <c r="A48" s="3" t="s">
        <v>319</v>
      </c>
      <c r="B48" s="42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/>
  </sheetViews>
  <sheetFormatPr defaultColWidth="12.58203125" defaultRowHeight="14.5" x14ac:dyDescent="0.35"/>
  <cols>
    <col min="1" max="1" width="15.25" style="19" bestFit="1" customWidth="1"/>
    <col min="2" max="2" width="28.6640625" style="20" bestFit="1" customWidth="1"/>
    <col min="3" max="3" width="22.4140625" style="19" bestFit="1" customWidth="1"/>
    <col min="4" max="4" width="102.5" style="19" bestFit="1" customWidth="1"/>
    <col min="5" max="25" width="7.58203125" style="19" customWidth="1"/>
    <col min="26" max="16384" width="12.58203125" style="19"/>
  </cols>
  <sheetData>
    <row r="1" spans="1:4" x14ac:dyDescent="0.35">
      <c r="A1" s="22" t="s">
        <v>310</v>
      </c>
      <c r="B1" s="22" t="s">
        <v>311</v>
      </c>
      <c r="C1" s="22" t="s">
        <v>312</v>
      </c>
      <c r="D1" s="22" t="s">
        <v>313</v>
      </c>
    </row>
    <row r="2" spans="1:4" x14ac:dyDescent="0.35">
      <c r="A2" s="19" t="s">
        <v>523</v>
      </c>
      <c r="B2" s="20" t="s">
        <v>67</v>
      </c>
      <c r="C2" s="19" t="s">
        <v>1379</v>
      </c>
      <c r="D2" s="19" t="s">
        <v>470</v>
      </c>
    </row>
    <row r="3" spans="1:4" x14ac:dyDescent="0.35">
      <c r="A3" s="19" t="s">
        <v>523</v>
      </c>
      <c r="B3" s="20" t="s">
        <v>78</v>
      </c>
      <c r="C3" s="19" t="s">
        <v>1380</v>
      </c>
      <c r="D3" s="19" t="s">
        <v>470</v>
      </c>
    </row>
    <row r="4" spans="1:4" ht="29" x14ac:dyDescent="0.35">
      <c r="A4" s="19" t="s">
        <v>523</v>
      </c>
      <c r="B4" s="78" t="s">
        <v>5</v>
      </c>
      <c r="C4" s="55">
        <v>2022</v>
      </c>
      <c r="D4" s="19" t="s">
        <v>1077</v>
      </c>
    </row>
    <row r="5" spans="1:4" x14ac:dyDescent="0.35">
      <c r="A5" s="19" t="s">
        <v>523</v>
      </c>
      <c r="B5" s="78" t="s">
        <v>6</v>
      </c>
      <c r="C5" s="55">
        <v>2022</v>
      </c>
      <c r="D5" s="19" t="s">
        <v>1078</v>
      </c>
    </row>
    <row r="6" spans="1:4" x14ac:dyDescent="0.35">
      <c r="A6" s="19" t="s">
        <v>523</v>
      </c>
      <c r="B6" s="20" t="s">
        <v>471</v>
      </c>
      <c r="C6" s="19" t="s">
        <v>472</v>
      </c>
      <c r="D6" s="20" t="s">
        <v>473</v>
      </c>
    </row>
    <row r="7" spans="1:4" x14ac:dyDescent="0.35">
      <c r="A7" s="19" t="s">
        <v>314</v>
      </c>
      <c r="B7" s="20" t="s">
        <v>133</v>
      </c>
      <c r="C7" s="19" t="s">
        <v>1381</v>
      </c>
      <c r="D7" s="19" t="s">
        <v>557</v>
      </c>
    </row>
    <row r="8" spans="1:4" x14ac:dyDescent="0.35">
      <c r="A8" s="19" t="s">
        <v>314</v>
      </c>
      <c r="B8" s="20" t="s">
        <v>136</v>
      </c>
      <c r="C8" s="19" t="s">
        <v>562</v>
      </c>
      <c r="D8" s="19" t="s">
        <v>558</v>
      </c>
    </row>
    <row r="9" spans="1:4" x14ac:dyDescent="0.35">
      <c r="A9" s="19" t="s">
        <v>314</v>
      </c>
      <c r="B9" s="20" t="s">
        <v>144</v>
      </c>
      <c r="C9" s="19" t="s">
        <v>1381</v>
      </c>
      <c r="D9" s="19" t="s">
        <v>563</v>
      </c>
    </row>
    <row r="10" spans="1:4" x14ac:dyDescent="0.35">
      <c r="A10" s="19" t="s">
        <v>314</v>
      </c>
      <c r="B10" s="20" t="s">
        <v>144</v>
      </c>
      <c r="C10" s="19" t="s">
        <v>1382</v>
      </c>
      <c r="D10" s="19" t="s">
        <v>597</v>
      </c>
    </row>
    <row r="11" spans="1:4" x14ac:dyDescent="0.35">
      <c r="A11" s="19" t="s">
        <v>314</v>
      </c>
      <c r="B11" s="20" t="s">
        <v>139</v>
      </c>
      <c r="C11" s="19" t="s">
        <v>554</v>
      </c>
      <c r="D11" s="19" t="s">
        <v>555</v>
      </c>
    </row>
    <row r="12" spans="1:4" x14ac:dyDescent="0.35">
      <c r="A12" s="19" t="s">
        <v>314</v>
      </c>
      <c r="B12" s="20" t="s">
        <v>139</v>
      </c>
      <c r="C12" s="19" t="s">
        <v>1381</v>
      </c>
      <c r="D12" s="19" t="s">
        <v>556</v>
      </c>
    </row>
    <row r="13" spans="1:4" ht="101.5" x14ac:dyDescent="0.35">
      <c r="A13" s="19" t="s">
        <v>314</v>
      </c>
      <c r="B13" s="20" t="s">
        <v>206</v>
      </c>
      <c r="C13" s="20" t="s">
        <v>516</v>
      </c>
      <c r="D13" s="20" t="s">
        <v>517</v>
      </c>
    </row>
    <row r="14" spans="1:4" ht="159.5" x14ac:dyDescent="0.35">
      <c r="A14" s="19" t="s">
        <v>314</v>
      </c>
      <c r="B14" s="20" t="s">
        <v>206</v>
      </c>
      <c r="C14" s="20" t="s">
        <v>1383</v>
      </c>
      <c r="D14" s="20" t="s">
        <v>518</v>
      </c>
    </row>
    <row r="15" spans="1:4" x14ac:dyDescent="0.35">
      <c r="A15" s="19" t="s">
        <v>314</v>
      </c>
      <c r="B15" s="20" t="s">
        <v>162</v>
      </c>
      <c r="C15" s="20" t="s">
        <v>476</v>
      </c>
      <c r="D15" s="19" t="s">
        <v>475</v>
      </c>
    </row>
    <row r="16" spans="1:4" x14ac:dyDescent="0.35">
      <c r="A16" s="19" t="s">
        <v>314</v>
      </c>
      <c r="B16" s="20" t="s">
        <v>164</v>
      </c>
      <c r="C16" s="19" t="s">
        <v>474</v>
      </c>
      <c r="D16" s="19" t="s">
        <v>477</v>
      </c>
    </row>
    <row r="17" spans="1:4" ht="29" x14ac:dyDescent="0.35">
      <c r="A17" s="19" t="s">
        <v>314</v>
      </c>
      <c r="B17" s="20" t="s">
        <v>180</v>
      </c>
      <c r="C17" s="19" t="s">
        <v>1384</v>
      </c>
      <c r="D17" s="19" t="s">
        <v>509</v>
      </c>
    </row>
    <row r="18" spans="1:4" x14ac:dyDescent="0.35">
      <c r="A18" s="19" t="s">
        <v>314</v>
      </c>
      <c r="B18" s="20" t="s">
        <v>182</v>
      </c>
      <c r="C18" s="19" t="s">
        <v>474</v>
      </c>
      <c r="D18" s="82" t="s">
        <v>525</v>
      </c>
    </row>
    <row r="19" spans="1:4" x14ac:dyDescent="0.35">
      <c r="A19" s="19" t="s">
        <v>314</v>
      </c>
      <c r="B19" s="20" t="s">
        <v>183</v>
      </c>
      <c r="C19" s="19" t="s">
        <v>474</v>
      </c>
      <c r="D19" s="82"/>
    </row>
    <row r="20" spans="1:4" x14ac:dyDescent="0.35">
      <c r="A20" s="19" t="s">
        <v>314</v>
      </c>
      <c r="B20" s="20" t="s">
        <v>184</v>
      </c>
      <c r="C20" s="19" t="s">
        <v>474</v>
      </c>
      <c r="D20" s="82"/>
    </row>
    <row r="21" spans="1:4" x14ac:dyDescent="0.35">
      <c r="A21" s="19" t="s">
        <v>314</v>
      </c>
      <c r="B21" s="20" t="s">
        <v>185</v>
      </c>
      <c r="C21" s="19" t="s">
        <v>474</v>
      </c>
      <c r="D21" s="82"/>
    </row>
    <row r="22" spans="1:4" x14ac:dyDescent="0.35">
      <c r="A22" s="19" t="s">
        <v>314</v>
      </c>
      <c r="B22" s="20" t="s">
        <v>20</v>
      </c>
      <c r="C22" s="19" t="s">
        <v>474</v>
      </c>
      <c r="D22" s="82"/>
    </row>
    <row r="23" spans="1:4" x14ac:dyDescent="0.35">
      <c r="A23" s="19" t="s">
        <v>314</v>
      </c>
      <c r="B23" s="20" t="s">
        <v>508</v>
      </c>
      <c r="C23" s="19" t="s">
        <v>1383</v>
      </c>
      <c r="D23" s="19" t="s">
        <v>509</v>
      </c>
    </row>
    <row r="24" spans="1:4" x14ac:dyDescent="0.35">
      <c r="A24" s="19" t="s">
        <v>314</v>
      </c>
      <c r="B24" s="20" t="s">
        <v>621</v>
      </c>
      <c r="C24" s="19" t="s">
        <v>1383</v>
      </c>
      <c r="D24" s="19" t="s">
        <v>511</v>
      </c>
    </row>
    <row r="25" spans="1:4" x14ac:dyDescent="0.35">
      <c r="A25" s="19" t="s">
        <v>314</v>
      </c>
      <c r="B25" s="20" t="s">
        <v>248</v>
      </c>
      <c r="C25" s="19" t="s">
        <v>1381</v>
      </c>
      <c r="D25" s="19" t="s">
        <v>1100</v>
      </c>
    </row>
    <row r="26" spans="1:4" x14ac:dyDescent="0.35">
      <c r="A26" s="19" t="s">
        <v>314</v>
      </c>
      <c r="B26" s="20" t="s">
        <v>254</v>
      </c>
      <c r="C26" s="19" t="s">
        <v>1387</v>
      </c>
      <c r="D26" s="19" t="s">
        <v>510</v>
      </c>
    </row>
    <row r="27" spans="1:4" x14ac:dyDescent="0.35">
      <c r="A27" s="19" t="s">
        <v>314</v>
      </c>
      <c r="B27" s="20" t="s">
        <v>252</v>
      </c>
      <c r="C27" s="24" t="s">
        <v>1386</v>
      </c>
      <c r="D27" s="19" t="s">
        <v>526</v>
      </c>
    </row>
    <row r="28" spans="1:4" ht="29" x14ac:dyDescent="0.35">
      <c r="A28" s="19" t="s">
        <v>314</v>
      </c>
      <c r="B28" s="20" t="s">
        <v>246</v>
      </c>
      <c r="C28" s="20" t="s">
        <v>530</v>
      </c>
      <c r="D28" s="19" t="s">
        <v>527</v>
      </c>
    </row>
    <row r="29" spans="1:4" x14ac:dyDescent="0.35">
      <c r="A29" s="19" t="s">
        <v>314</v>
      </c>
      <c r="B29" s="20" t="s">
        <v>246</v>
      </c>
      <c r="C29" s="19" t="s">
        <v>874</v>
      </c>
      <c r="D29" s="19" t="s">
        <v>528</v>
      </c>
    </row>
    <row r="30" spans="1:4" x14ac:dyDescent="0.35">
      <c r="A30" s="19" t="s">
        <v>314</v>
      </c>
      <c r="B30" s="20" t="s">
        <v>246</v>
      </c>
      <c r="C30" s="19" t="s">
        <v>1385</v>
      </c>
      <c r="D30" s="19" t="s">
        <v>529</v>
      </c>
    </row>
  </sheetData>
  <mergeCells count="1">
    <mergeCell ref="D18:D2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D1E9-F19C-41F9-9317-3C311ED5103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673</v>
      </c>
      <c r="B1" s="32" t="s">
        <v>674</v>
      </c>
    </row>
    <row r="2" spans="1:2" x14ac:dyDescent="0.3">
      <c r="A2" s="33" t="s">
        <v>209</v>
      </c>
      <c r="B2" s="33">
        <v>10701</v>
      </c>
    </row>
    <row r="3" spans="1:2" x14ac:dyDescent="0.3">
      <c r="A3" s="33" t="s">
        <v>210</v>
      </c>
      <c r="B3" s="33">
        <v>10702</v>
      </c>
    </row>
    <row r="4" spans="1:2" x14ac:dyDescent="0.3">
      <c r="A4" s="34" t="s">
        <v>187</v>
      </c>
      <c r="B4" s="33">
        <v>10703</v>
      </c>
    </row>
    <row r="5" spans="1:2" x14ac:dyDescent="0.3">
      <c r="A5" s="33" t="s">
        <v>192</v>
      </c>
      <c r="B5" s="33">
        <v>10704</v>
      </c>
    </row>
    <row r="6" spans="1:2" x14ac:dyDescent="0.3">
      <c r="A6" s="33" t="s">
        <v>196</v>
      </c>
      <c r="B6" s="33">
        <v>10705</v>
      </c>
    </row>
    <row r="7" spans="1:2" x14ac:dyDescent="0.3">
      <c r="A7" s="34" t="s">
        <v>239</v>
      </c>
      <c r="B7" s="33">
        <v>10706</v>
      </c>
    </row>
    <row r="8" spans="1:2" x14ac:dyDescent="0.3">
      <c r="A8" s="34" t="s">
        <v>249</v>
      </c>
      <c r="B8" s="33">
        <v>10798</v>
      </c>
    </row>
    <row r="9" spans="1:2" x14ac:dyDescent="0.3">
      <c r="A9" s="35" t="s">
        <v>250</v>
      </c>
      <c r="B9" s="33">
        <v>10799</v>
      </c>
    </row>
    <row r="10" spans="1:2" x14ac:dyDescent="0.3">
      <c r="A10" s="35" t="s">
        <v>251</v>
      </c>
      <c r="B10" s="33">
        <v>10800</v>
      </c>
    </row>
    <row r="11" spans="1:2" x14ac:dyDescent="0.3">
      <c r="A11" s="33" t="s">
        <v>612</v>
      </c>
      <c r="B11" s="33">
        <v>10801</v>
      </c>
    </row>
    <row r="12" spans="1:2" x14ac:dyDescent="0.3">
      <c r="A12" s="33" t="s">
        <v>613</v>
      </c>
      <c r="B12" s="33">
        <v>10802</v>
      </c>
    </row>
    <row r="13" spans="1:2" x14ac:dyDescent="0.3">
      <c r="A13" s="33" t="s">
        <v>614</v>
      </c>
      <c r="B13" s="33">
        <v>10803</v>
      </c>
    </row>
    <row r="14" spans="1:2" x14ac:dyDescent="0.3">
      <c r="A14" s="33" t="s">
        <v>615</v>
      </c>
      <c r="B14" s="33">
        <v>10804</v>
      </c>
    </row>
    <row r="15" spans="1:2" x14ac:dyDescent="0.3">
      <c r="A15" s="33" t="s">
        <v>616</v>
      </c>
      <c r="B15" s="33">
        <v>10805</v>
      </c>
    </row>
    <row r="16" spans="1:2" x14ac:dyDescent="0.3">
      <c r="A16" s="33" t="s">
        <v>617</v>
      </c>
      <c r="B16" s="33">
        <v>10806</v>
      </c>
    </row>
    <row r="17" spans="1:2" x14ac:dyDescent="0.3">
      <c r="A17" s="33" t="s">
        <v>618</v>
      </c>
      <c r="B17" s="33">
        <v>10807</v>
      </c>
    </row>
    <row r="18" spans="1:2" x14ac:dyDescent="0.3">
      <c r="A18" s="33" t="s">
        <v>619</v>
      </c>
      <c r="B18" s="33">
        <v>10808</v>
      </c>
    </row>
    <row r="19" spans="1:2" x14ac:dyDescent="0.3">
      <c r="A19" s="33" t="s">
        <v>620</v>
      </c>
      <c r="B19" s="33">
        <v>10809</v>
      </c>
    </row>
    <row r="20" spans="1:2" x14ac:dyDescent="0.3">
      <c r="A20" s="33" t="s">
        <v>621</v>
      </c>
      <c r="B20" s="33">
        <v>10810</v>
      </c>
    </row>
    <row r="21" spans="1:2" x14ac:dyDescent="0.3">
      <c r="A21" s="33" t="s">
        <v>622</v>
      </c>
      <c r="B21" s="33">
        <v>10811</v>
      </c>
    </row>
    <row r="22" spans="1:2" x14ac:dyDescent="0.3">
      <c r="A22" s="33" t="s">
        <v>623</v>
      </c>
      <c r="B22" s="33">
        <v>10812</v>
      </c>
    </row>
    <row r="23" spans="1:2" x14ac:dyDescent="0.3">
      <c r="A23" s="33" t="s">
        <v>624</v>
      </c>
      <c r="B23" s="33">
        <v>10813</v>
      </c>
    </row>
    <row r="24" spans="1:2" x14ac:dyDescent="0.3">
      <c r="A24" s="33" t="s">
        <v>625</v>
      </c>
      <c r="B24" s="33">
        <v>10814</v>
      </c>
    </row>
    <row r="25" spans="1:2" x14ac:dyDescent="0.3">
      <c r="A25" s="33" t="s">
        <v>626</v>
      </c>
      <c r="B25" s="33">
        <v>10815</v>
      </c>
    </row>
    <row r="26" spans="1:2" x14ac:dyDescent="0.3">
      <c r="A26" s="33" t="s">
        <v>627</v>
      </c>
      <c r="B26" s="33">
        <v>10816</v>
      </c>
    </row>
    <row r="27" spans="1:2" x14ac:dyDescent="0.3">
      <c r="A27" s="33" t="s">
        <v>628</v>
      </c>
      <c r="B27" s="33">
        <v>10817</v>
      </c>
    </row>
    <row r="28" spans="1:2" x14ac:dyDescent="0.3">
      <c r="A28" s="33" t="s">
        <v>629</v>
      </c>
      <c r="B28" s="33">
        <v>10818</v>
      </c>
    </row>
    <row r="29" spans="1:2" x14ac:dyDescent="0.3">
      <c r="A29" s="33" t="s">
        <v>630</v>
      </c>
      <c r="B29" s="33">
        <v>10819</v>
      </c>
    </row>
    <row r="30" spans="1:2" x14ac:dyDescent="0.3">
      <c r="A30" s="33" t="s">
        <v>631</v>
      </c>
      <c r="B30" s="33">
        <v>10820</v>
      </c>
    </row>
    <row r="31" spans="1:2" x14ac:dyDescent="0.3">
      <c r="A31" s="33" t="s">
        <v>632</v>
      </c>
      <c r="B31" s="33">
        <v>10821</v>
      </c>
    </row>
    <row r="32" spans="1:2" x14ac:dyDescent="0.3">
      <c r="A32" s="33" t="s">
        <v>633</v>
      </c>
      <c r="B32" s="33">
        <v>10822</v>
      </c>
    </row>
    <row r="33" spans="1:2" x14ac:dyDescent="0.3">
      <c r="A33" s="33" t="s">
        <v>634</v>
      </c>
      <c r="B33" s="33">
        <v>10823</v>
      </c>
    </row>
    <row r="34" spans="1:2" x14ac:dyDescent="0.3">
      <c r="A34" s="33" t="s">
        <v>635</v>
      </c>
      <c r="B34" s="33">
        <v>10824</v>
      </c>
    </row>
    <row r="35" spans="1:2" x14ac:dyDescent="0.3">
      <c r="A35" s="33" t="s">
        <v>636</v>
      </c>
      <c r="B35" s="33">
        <v>10825</v>
      </c>
    </row>
    <row r="36" spans="1:2" x14ac:dyDescent="0.3">
      <c r="A36" s="33" t="s">
        <v>637</v>
      </c>
      <c r="B36" s="33">
        <v>10826</v>
      </c>
    </row>
    <row r="37" spans="1:2" x14ac:dyDescent="0.3">
      <c r="A37" s="33" t="s">
        <v>638</v>
      </c>
      <c r="B37" s="33">
        <v>10827</v>
      </c>
    </row>
    <row r="38" spans="1:2" x14ac:dyDescent="0.3">
      <c r="A38" s="34" t="s">
        <v>253</v>
      </c>
      <c r="B38" s="33">
        <v>10828</v>
      </c>
    </row>
    <row r="39" spans="1:2" x14ac:dyDescent="0.3">
      <c r="A39" s="33" t="s">
        <v>247</v>
      </c>
      <c r="B39" s="33">
        <v>10829</v>
      </c>
    </row>
    <row r="40" spans="1:2" x14ac:dyDescent="0.3">
      <c r="A40" s="33" t="s">
        <v>675</v>
      </c>
      <c r="B40" s="33">
        <v>10830</v>
      </c>
    </row>
    <row r="41" spans="1:2" x14ac:dyDescent="0.3">
      <c r="A41" s="33" t="s">
        <v>676</v>
      </c>
      <c r="B41" s="33">
        <v>10831</v>
      </c>
    </row>
    <row r="42" spans="1:2" x14ac:dyDescent="0.3">
      <c r="A42" s="33" t="s">
        <v>677</v>
      </c>
      <c r="B42" s="33">
        <v>10832</v>
      </c>
    </row>
    <row r="43" spans="1:2" x14ac:dyDescent="0.3">
      <c r="A43" s="33" t="s">
        <v>678</v>
      </c>
      <c r="B43" s="33">
        <v>10833</v>
      </c>
    </row>
    <row r="44" spans="1:2" x14ac:dyDescent="0.3">
      <c r="A44" s="33" t="s">
        <v>679</v>
      </c>
      <c r="B44" s="33">
        <v>10834</v>
      </c>
    </row>
    <row r="45" spans="1:2" x14ac:dyDescent="0.3">
      <c r="A45" s="33" t="s">
        <v>680</v>
      </c>
      <c r="B45" s="33">
        <v>10835</v>
      </c>
    </row>
    <row r="46" spans="1:2" x14ac:dyDescent="0.3">
      <c r="A46" s="33" t="s">
        <v>681</v>
      </c>
      <c r="B46" s="33">
        <v>10836</v>
      </c>
    </row>
    <row r="47" spans="1:2" x14ac:dyDescent="0.3">
      <c r="A47" s="33" t="s">
        <v>682</v>
      </c>
      <c r="B47" s="33">
        <v>10837</v>
      </c>
    </row>
    <row r="48" spans="1:2" x14ac:dyDescent="0.3">
      <c r="A48" s="33" t="s">
        <v>683</v>
      </c>
      <c r="B48" s="33">
        <v>10838</v>
      </c>
    </row>
    <row r="49" spans="1:2" x14ac:dyDescent="0.3">
      <c r="A49" s="33" t="s">
        <v>684</v>
      </c>
      <c r="B49" s="33">
        <v>10839</v>
      </c>
    </row>
    <row r="50" spans="1:2" x14ac:dyDescent="0.3">
      <c r="A50" s="33" t="s">
        <v>685</v>
      </c>
      <c r="B50" s="33">
        <v>10842</v>
      </c>
    </row>
    <row r="51" spans="1:2" x14ac:dyDescent="0.3">
      <c r="A51" s="33" t="s">
        <v>686</v>
      </c>
      <c r="B51" s="33">
        <v>10843</v>
      </c>
    </row>
    <row r="52" spans="1:2" x14ac:dyDescent="0.3">
      <c r="A52" s="33" t="s">
        <v>188</v>
      </c>
      <c r="B52" s="33">
        <v>10845</v>
      </c>
    </row>
    <row r="53" spans="1:2" x14ac:dyDescent="0.3">
      <c r="A53" s="33" t="s">
        <v>687</v>
      </c>
      <c r="B53" s="33">
        <v>10850</v>
      </c>
    </row>
    <row r="54" spans="1:2" x14ac:dyDescent="0.3">
      <c r="A54" s="33" t="s">
        <v>688</v>
      </c>
      <c r="B54" s="33">
        <v>10851</v>
      </c>
    </row>
    <row r="55" spans="1:2" x14ac:dyDescent="0.3">
      <c r="A55" s="33" t="s">
        <v>689</v>
      </c>
      <c r="B55" s="33">
        <v>10852</v>
      </c>
    </row>
    <row r="56" spans="1:2" x14ac:dyDescent="0.3">
      <c r="A56" s="33" t="s">
        <v>690</v>
      </c>
      <c r="B56" s="33">
        <v>10853</v>
      </c>
    </row>
    <row r="57" spans="1:2" x14ac:dyDescent="0.3">
      <c r="A57" s="33" t="s">
        <v>691</v>
      </c>
      <c r="B57" s="33">
        <v>10860</v>
      </c>
    </row>
    <row r="58" spans="1:2" x14ac:dyDescent="0.3">
      <c r="A58" s="33" t="s">
        <v>692</v>
      </c>
      <c r="B58" s="33">
        <v>10861</v>
      </c>
    </row>
    <row r="59" spans="1:2" x14ac:dyDescent="0.3">
      <c r="A59" s="33" t="s">
        <v>693</v>
      </c>
      <c r="B59" s="33">
        <v>10862</v>
      </c>
    </row>
    <row r="60" spans="1:2" x14ac:dyDescent="0.3">
      <c r="A60" s="33" t="s">
        <v>694</v>
      </c>
      <c r="B60" s="33">
        <v>10863</v>
      </c>
    </row>
    <row r="61" spans="1:2" x14ac:dyDescent="0.3">
      <c r="A61" s="33" t="s">
        <v>695</v>
      </c>
      <c r="B61" s="33">
        <v>10864</v>
      </c>
    </row>
    <row r="62" spans="1:2" x14ac:dyDescent="0.3">
      <c r="A62" s="33" t="s">
        <v>696</v>
      </c>
      <c r="B62" s="33">
        <v>10865</v>
      </c>
    </row>
    <row r="63" spans="1:2" x14ac:dyDescent="0.3">
      <c r="A63" s="33" t="s">
        <v>697</v>
      </c>
      <c r="B63" s="33">
        <v>10866</v>
      </c>
    </row>
    <row r="64" spans="1:2" x14ac:dyDescent="0.3">
      <c r="A64" s="33" t="s">
        <v>698</v>
      </c>
      <c r="B64" s="33">
        <v>10867</v>
      </c>
    </row>
    <row r="65" spans="1:2" x14ac:dyDescent="0.3">
      <c r="A65" s="33" t="s">
        <v>699</v>
      </c>
      <c r="B65" s="33">
        <v>10868</v>
      </c>
    </row>
    <row r="66" spans="1:2" x14ac:dyDescent="0.3">
      <c r="A66" s="33" t="s">
        <v>700</v>
      </c>
      <c r="B66" s="33">
        <v>10869</v>
      </c>
    </row>
    <row r="67" spans="1:2" x14ac:dyDescent="0.3">
      <c r="A67" s="33" t="s">
        <v>701</v>
      </c>
      <c r="B67" s="33">
        <v>10870</v>
      </c>
    </row>
    <row r="68" spans="1:2" x14ac:dyDescent="0.3">
      <c r="A68" s="33" t="s">
        <v>702</v>
      </c>
      <c r="B68" s="33">
        <v>10871</v>
      </c>
    </row>
    <row r="69" spans="1:2" x14ac:dyDescent="0.3">
      <c r="A69" s="33" t="s">
        <v>703</v>
      </c>
      <c r="B69" s="33">
        <v>10872</v>
      </c>
    </row>
    <row r="70" spans="1:2" x14ac:dyDescent="0.3">
      <c r="A70" s="33" t="s">
        <v>704</v>
      </c>
      <c r="B70" s="33">
        <v>10873</v>
      </c>
    </row>
    <row r="71" spans="1:2" x14ac:dyDescent="0.3">
      <c r="A71" s="33" t="s">
        <v>705</v>
      </c>
      <c r="B71" s="33">
        <v>10874</v>
      </c>
    </row>
    <row r="72" spans="1:2" x14ac:dyDescent="0.3">
      <c r="A72" s="33" t="s">
        <v>706</v>
      </c>
      <c r="B72" s="33">
        <v>10875</v>
      </c>
    </row>
    <row r="73" spans="1:2" x14ac:dyDescent="0.3">
      <c r="A73" s="33" t="s">
        <v>707</v>
      </c>
      <c r="B73" s="33">
        <v>10876</v>
      </c>
    </row>
    <row r="74" spans="1:2" x14ac:dyDescent="0.3">
      <c r="A74" s="33" t="s">
        <v>708</v>
      </c>
      <c r="B74" s="33">
        <v>10877</v>
      </c>
    </row>
    <row r="75" spans="1:2" x14ac:dyDescent="0.3">
      <c r="A75" s="33" t="s">
        <v>709</v>
      </c>
      <c r="B75" s="33">
        <v>10878</v>
      </c>
    </row>
    <row r="76" spans="1:2" x14ac:dyDescent="0.3">
      <c r="A76" s="33" t="s">
        <v>710</v>
      </c>
      <c r="B76" s="33">
        <v>10879</v>
      </c>
    </row>
    <row r="77" spans="1:2" x14ac:dyDescent="0.3">
      <c r="A77" s="33" t="s">
        <v>711</v>
      </c>
      <c r="B77" s="33">
        <v>10880</v>
      </c>
    </row>
    <row r="78" spans="1:2" x14ac:dyDescent="0.3">
      <c r="A78" s="33" t="s">
        <v>712</v>
      </c>
      <c r="B78" s="33">
        <v>10881</v>
      </c>
    </row>
    <row r="79" spans="1:2" x14ac:dyDescent="0.3">
      <c r="A79" s="33" t="s">
        <v>713</v>
      </c>
      <c r="B79" s="33">
        <v>10882</v>
      </c>
    </row>
    <row r="80" spans="1:2" x14ac:dyDescent="0.3">
      <c r="A80" s="33" t="s">
        <v>714</v>
      </c>
      <c r="B80" s="33">
        <v>10883</v>
      </c>
    </row>
    <row r="81" spans="1:2" x14ac:dyDescent="0.3">
      <c r="A81" s="33" t="s">
        <v>715</v>
      </c>
      <c r="B81" s="33">
        <v>10884</v>
      </c>
    </row>
    <row r="82" spans="1:2" x14ac:dyDescent="0.3">
      <c r="A82" s="33" t="s">
        <v>716</v>
      </c>
      <c r="B82" s="33">
        <v>10885</v>
      </c>
    </row>
    <row r="83" spans="1:2" x14ac:dyDescent="0.3">
      <c r="A83" s="33" t="s">
        <v>717</v>
      </c>
      <c r="B83" s="33">
        <v>10886</v>
      </c>
    </row>
    <row r="84" spans="1:2" x14ac:dyDescent="0.3">
      <c r="A84" s="33" t="s">
        <v>718</v>
      </c>
      <c r="B84" s="33">
        <v>10887</v>
      </c>
    </row>
    <row r="85" spans="1:2" x14ac:dyDescent="0.3">
      <c r="A85" s="33" t="s">
        <v>719</v>
      </c>
      <c r="B85" s="33">
        <v>10889</v>
      </c>
    </row>
    <row r="86" spans="1:2" x14ac:dyDescent="0.3">
      <c r="A86" s="33" t="s">
        <v>720</v>
      </c>
      <c r="B86" s="33">
        <v>10890</v>
      </c>
    </row>
    <row r="87" spans="1:2" x14ac:dyDescent="0.3">
      <c r="A87" s="33" t="s">
        <v>721</v>
      </c>
      <c r="B87" s="33">
        <v>10891</v>
      </c>
    </row>
    <row r="88" spans="1:2" x14ac:dyDescent="0.3">
      <c r="A88" s="33" t="s">
        <v>722</v>
      </c>
      <c r="B88" s="33">
        <v>10892</v>
      </c>
    </row>
    <row r="89" spans="1:2" x14ac:dyDescent="0.3">
      <c r="A89" s="33" t="s">
        <v>723</v>
      </c>
      <c r="B89" s="33">
        <v>10893</v>
      </c>
    </row>
    <row r="90" spans="1:2" x14ac:dyDescent="0.3">
      <c r="A90" s="33" t="s">
        <v>724</v>
      </c>
      <c r="B90" s="33">
        <v>10894</v>
      </c>
    </row>
    <row r="91" spans="1:2" x14ac:dyDescent="0.3">
      <c r="A91" s="33" t="s">
        <v>725</v>
      </c>
      <c r="B91" s="33">
        <v>10895</v>
      </c>
    </row>
    <row r="92" spans="1:2" x14ac:dyDescent="0.3">
      <c r="A92" s="33" t="s">
        <v>726</v>
      </c>
      <c r="B92" s="33">
        <v>10896</v>
      </c>
    </row>
    <row r="93" spans="1:2" x14ac:dyDescent="0.3">
      <c r="A93" s="33" t="s">
        <v>727</v>
      </c>
      <c r="B93" s="33">
        <v>10897</v>
      </c>
    </row>
    <row r="94" spans="1:2" x14ac:dyDescent="0.3">
      <c r="A94" s="33" t="s">
        <v>728</v>
      </c>
      <c r="B94" s="33">
        <v>10898</v>
      </c>
    </row>
    <row r="95" spans="1:2" x14ac:dyDescent="0.3">
      <c r="A95" s="33" t="s">
        <v>729</v>
      </c>
      <c r="B95" s="33">
        <v>10899</v>
      </c>
    </row>
    <row r="96" spans="1:2" x14ac:dyDescent="0.3">
      <c r="A96" s="33" t="s">
        <v>730</v>
      </c>
      <c r="B96" s="33">
        <v>10900</v>
      </c>
    </row>
    <row r="97" spans="1:2" x14ac:dyDescent="0.3">
      <c r="A97" s="33" t="s">
        <v>731</v>
      </c>
      <c r="B97" s="33">
        <v>10901</v>
      </c>
    </row>
    <row r="98" spans="1:2" x14ac:dyDescent="0.3">
      <c r="A98" s="33" t="s">
        <v>732</v>
      </c>
      <c r="B98" s="33">
        <v>10902</v>
      </c>
    </row>
    <row r="99" spans="1:2" x14ac:dyDescent="0.3">
      <c r="A99" s="33" t="s">
        <v>733</v>
      </c>
      <c r="B99" s="33">
        <v>10903</v>
      </c>
    </row>
    <row r="100" spans="1:2" x14ac:dyDescent="0.3">
      <c r="A100" s="33" t="s">
        <v>734</v>
      </c>
      <c r="B100" s="33">
        <v>10904</v>
      </c>
    </row>
    <row r="101" spans="1:2" x14ac:dyDescent="0.3">
      <c r="A101" s="33" t="s">
        <v>735</v>
      </c>
      <c r="B101" s="33">
        <v>10905</v>
      </c>
    </row>
    <row r="102" spans="1:2" x14ac:dyDescent="0.3">
      <c r="A102" s="33" t="s">
        <v>736</v>
      </c>
      <c r="B102" s="33">
        <v>10906</v>
      </c>
    </row>
    <row r="103" spans="1:2" x14ac:dyDescent="0.3">
      <c r="A103" s="33" t="s">
        <v>737</v>
      </c>
      <c r="B103" s="33">
        <v>10907</v>
      </c>
    </row>
    <row r="104" spans="1:2" x14ac:dyDescent="0.3">
      <c r="A104" s="33" t="s">
        <v>691</v>
      </c>
      <c r="B104" s="33">
        <v>10908</v>
      </c>
    </row>
    <row r="105" spans="1:2" x14ac:dyDescent="0.3">
      <c r="A105" s="33" t="s">
        <v>738</v>
      </c>
      <c r="B105" s="33">
        <v>10909</v>
      </c>
    </row>
    <row r="106" spans="1:2" x14ac:dyDescent="0.3">
      <c r="A106" s="33" t="s">
        <v>739</v>
      </c>
      <c r="B106" s="33">
        <v>10910</v>
      </c>
    </row>
    <row r="107" spans="1:2" x14ac:dyDescent="0.3">
      <c r="A107" s="33" t="s">
        <v>740</v>
      </c>
      <c r="B107" s="33">
        <v>10911</v>
      </c>
    </row>
    <row r="108" spans="1:2" x14ac:dyDescent="0.3">
      <c r="A108" s="33" t="s">
        <v>741</v>
      </c>
      <c r="B108" s="33">
        <v>10912</v>
      </c>
    </row>
    <row r="109" spans="1:2" x14ac:dyDescent="0.3">
      <c r="A109" s="33" t="s">
        <v>742</v>
      </c>
      <c r="B109" s="33">
        <v>10913</v>
      </c>
    </row>
    <row r="110" spans="1:2" x14ac:dyDescent="0.3">
      <c r="A110" s="33" t="s">
        <v>743</v>
      </c>
      <c r="B110" s="33">
        <v>10914</v>
      </c>
    </row>
    <row r="111" spans="1:2" x14ac:dyDescent="0.3">
      <c r="A111" s="33" t="s">
        <v>744</v>
      </c>
      <c r="B111" s="33">
        <v>10915</v>
      </c>
    </row>
    <row r="112" spans="1:2" x14ac:dyDescent="0.3">
      <c r="A112" s="33" t="s">
        <v>745</v>
      </c>
      <c r="B112" s="33">
        <v>10916</v>
      </c>
    </row>
    <row r="113" spans="1:2" x14ac:dyDescent="0.3">
      <c r="A113" s="33" t="s">
        <v>746</v>
      </c>
      <c r="B113" s="33">
        <v>10917</v>
      </c>
    </row>
    <row r="114" spans="1:2" x14ac:dyDescent="0.3">
      <c r="A114" s="33" t="s">
        <v>747</v>
      </c>
      <c r="B114" s="33">
        <v>10918</v>
      </c>
    </row>
    <row r="115" spans="1:2" x14ac:dyDescent="0.3">
      <c r="A115" s="33" t="s">
        <v>748</v>
      </c>
      <c r="B115" s="33">
        <v>10919</v>
      </c>
    </row>
    <row r="116" spans="1:2" x14ac:dyDescent="0.3">
      <c r="A116" s="33" t="s">
        <v>749</v>
      </c>
      <c r="B116" s="33">
        <v>10920</v>
      </c>
    </row>
    <row r="117" spans="1:2" x14ac:dyDescent="0.3">
      <c r="A117" s="33" t="s">
        <v>750</v>
      </c>
      <c r="B117" s="33">
        <v>10921</v>
      </c>
    </row>
    <row r="118" spans="1:2" x14ac:dyDescent="0.3">
      <c r="A118" s="33" t="s">
        <v>751</v>
      </c>
      <c r="B118" s="33">
        <v>10922</v>
      </c>
    </row>
    <row r="119" spans="1:2" x14ac:dyDescent="0.3">
      <c r="A119" s="33" t="s">
        <v>752</v>
      </c>
      <c r="B119" s="33">
        <v>10923</v>
      </c>
    </row>
    <row r="120" spans="1:2" x14ac:dyDescent="0.3">
      <c r="A120" s="33" t="s">
        <v>753</v>
      </c>
      <c r="B120" s="33">
        <v>10924</v>
      </c>
    </row>
    <row r="121" spans="1:2" x14ac:dyDescent="0.3">
      <c r="A121" s="33" t="s">
        <v>754</v>
      </c>
      <c r="B121" s="33">
        <v>10925</v>
      </c>
    </row>
    <row r="122" spans="1:2" x14ac:dyDescent="0.3">
      <c r="A122" s="33" t="s">
        <v>755</v>
      </c>
      <c r="B122" s="33">
        <v>10926</v>
      </c>
    </row>
    <row r="123" spans="1:2" x14ac:dyDescent="0.3">
      <c r="A123" s="33" t="s">
        <v>756</v>
      </c>
      <c r="B123" s="33">
        <v>10927</v>
      </c>
    </row>
    <row r="124" spans="1:2" x14ac:dyDescent="0.3">
      <c r="A124" s="33" t="s">
        <v>757</v>
      </c>
      <c r="B124" s="33">
        <v>10928</v>
      </c>
    </row>
    <row r="125" spans="1:2" x14ac:dyDescent="0.3">
      <c r="A125" s="33" t="s">
        <v>758</v>
      </c>
      <c r="B125" s="33">
        <v>10929</v>
      </c>
    </row>
    <row r="126" spans="1:2" x14ac:dyDescent="0.3">
      <c r="A126" s="33" t="s">
        <v>759</v>
      </c>
      <c r="B126" s="33">
        <v>10930</v>
      </c>
    </row>
    <row r="127" spans="1:2" x14ac:dyDescent="0.3">
      <c r="A127" s="57" t="s">
        <v>1075</v>
      </c>
      <c r="B127" s="33">
        <v>10931</v>
      </c>
    </row>
    <row r="128" spans="1:2" x14ac:dyDescent="0.3">
      <c r="A128" s="33" t="s">
        <v>760</v>
      </c>
      <c r="B128" s="33">
        <v>10932</v>
      </c>
    </row>
    <row r="129" spans="1:2" x14ac:dyDescent="0.3">
      <c r="A129" s="33" t="s">
        <v>761</v>
      </c>
      <c r="B129" s="33">
        <v>10933</v>
      </c>
    </row>
    <row r="130" spans="1:2" x14ac:dyDescent="0.3">
      <c r="A130" s="33" t="s">
        <v>762</v>
      </c>
      <c r="B130" s="33">
        <v>10934</v>
      </c>
    </row>
    <row r="131" spans="1:2" x14ac:dyDescent="0.3">
      <c r="A131" s="33" t="s">
        <v>763</v>
      </c>
      <c r="B131" s="33">
        <v>10935</v>
      </c>
    </row>
    <row r="132" spans="1:2" x14ac:dyDescent="0.3">
      <c r="A132" s="33" t="s">
        <v>764</v>
      </c>
      <c r="B132" s="33">
        <v>10936</v>
      </c>
    </row>
    <row r="133" spans="1:2" x14ac:dyDescent="0.3">
      <c r="A133" s="33" t="s">
        <v>765</v>
      </c>
      <c r="B133" s="33">
        <v>10937</v>
      </c>
    </row>
    <row r="134" spans="1:2" x14ac:dyDescent="0.3">
      <c r="A134" s="33" t="s">
        <v>766</v>
      </c>
      <c r="B134" s="33">
        <v>10938</v>
      </c>
    </row>
    <row r="135" spans="1:2" x14ac:dyDescent="0.3">
      <c r="A135" s="33" t="s">
        <v>767</v>
      </c>
      <c r="B135" s="33">
        <v>10939</v>
      </c>
    </row>
    <row r="136" spans="1:2" x14ac:dyDescent="0.3">
      <c r="A136" s="33" t="s">
        <v>768</v>
      </c>
      <c r="B136" s="33">
        <v>10940</v>
      </c>
    </row>
    <row r="137" spans="1:2" x14ac:dyDescent="0.3">
      <c r="A137" s="33" t="s">
        <v>769</v>
      </c>
      <c r="B137" s="33">
        <v>10941</v>
      </c>
    </row>
    <row r="138" spans="1:2" x14ac:dyDescent="0.3">
      <c r="A138" s="33" t="s">
        <v>770</v>
      </c>
      <c r="B138" s="33">
        <v>10942</v>
      </c>
    </row>
    <row r="139" spans="1:2" x14ac:dyDescent="0.3">
      <c r="A139" s="33" t="s">
        <v>771</v>
      </c>
      <c r="B139" s="33">
        <v>10943</v>
      </c>
    </row>
    <row r="140" spans="1:2" x14ac:dyDescent="0.3">
      <c r="A140" s="33" t="s">
        <v>772</v>
      </c>
      <c r="B140" s="33">
        <v>10944</v>
      </c>
    </row>
    <row r="141" spans="1:2" x14ac:dyDescent="0.3">
      <c r="A141" s="33" t="s">
        <v>773</v>
      </c>
      <c r="B141" s="33">
        <v>10945</v>
      </c>
    </row>
    <row r="142" spans="1:2" x14ac:dyDescent="0.3">
      <c r="A142" s="33" t="s">
        <v>774</v>
      </c>
      <c r="B142" s="33">
        <v>10946</v>
      </c>
    </row>
    <row r="143" spans="1:2" x14ac:dyDescent="0.3">
      <c r="A143" s="33" t="s">
        <v>775</v>
      </c>
      <c r="B143" s="33">
        <v>10947</v>
      </c>
    </row>
    <row r="144" spans="1:2" x14ac:dyDescent="0.3">
      <c r="A144" s="33" t="s">
        <v>776</v>
      </c>
      <c r="B144" s="33">
        <v>10948</v>
      </c>
    </row>
    <row r="145" spans="1:2" x14ac:dyDescent="0.3">
      <c r="A145" s="33" t="s">
        <v>777</v>
      </c>
      <c r="B145" s="33">
        <v>10949</v>
      </c>
    </row>
    <row r="146" spans="1:2" x14ac:dyDescent="0.3">
      <c r="A146" s="33" t="s">
        <v>778</v>
      </c>
      <c r="B146" s="33">
        <v>10950</v>
      </c>
    </row>
    <row r="147" spans="1:2" x14ac:dyDescent="0.3">
      <c r="A147" s="33" t="s">
        <v>779</v>
      </c>
      <c r="B147" s="33">
        <v>10951</v>
      </c>
    </row>
    <row r="148" spans="1:2" x14ac:dyDescent="0.3">
      <c r="A148" s="33" t="s">
        <v>780</v>
      </c>
      <c r="B148" s="33">
        <v>10952</v>
      </c>
    </row>
    <row r="149" spans="1:2" x14ac:dyDescent="0.3">
      <c r="A149" s="33" t="s">
        <v>781</v>
      </c>
      <c r="B149" s="33">
        <v>10953</v>
      </c>
    </row>
    <row r="150" spans="1:2" x14ac:dyDescent="0.3">
      <c r="A150" s="33" t="s">
        <v>782</v>
      </c>
      <c r="B150" s="33">
        <v>10954</v>
      </c>
    </row>
    <row r="151" spans="1:2" x14ac:dyDescent="0.3">
      <c r="A151" s="33" t="s">
        <v>783</v>
      </c>
      <c r="B151" s="33">
        <v>10955</v>
      </c>
    </row>
    <row r="152" spans="1:2" x14ac:dyDescent="0.3">
      <c r="A152" s="33" t="s">
        <v>784</v>
      </c>
      <c r="B152" s="33">
        <v>10956</v>
      </c>
    </row>
    <row r="153" spans="1:2" x14ac:dyDescent="0.3">
      <c r="A153" s="33" t="s">
        <v>785</v>
      </c>
      <c r="B153" s="33">
        <v>10957</v>
      </c>
    </row>
    <row r="154" spans="1:2" x14ac:dyDescent="0.3">
      <c r="A154" s="33" t="s">
        <v>786</v>
      </c>
      <c r="B154" s="33">
        <v>10958</v>
      </c>
    </row>
    <row r="155" spans="1:2" x14ac:dyDescent="0.3">
      <c r="A155" s="33" t="s">
        <v>787</v>
      </c>
      <c r="B155" s="33">
        <v>10959</v>
      </c>
    </row>
    <row r="156" spans="1:2" x14ac:dyDescent="0.3">
      <c r="A156" s="33" t="s">
        <v>788</v>
      </c>
      <c r="B156" s="33">
        <v>10960</v>
      </c>
    </row>
    <row r="157" spans="1:2" x14ac:dyDescent="0.3">
      <c r="A157" s="33" t="s">
        <v>789</v>
      </c>
      <c r="B157" s="33">
        <v>10961</v>
      </c>
    </row>
    <row r="158" spans="1:2" x14ac:dyDescent="0.3">
      <c r="A158" s="33" t="s">
        <v>790</v>
      </c>
      <c r="B158" s="33">
        <v>10962</v>
      </c>
    </row>
    <row r="159" spans="1:2" x14ac:dyDescent="0.3">
      <c r="A159" s="33" t="s">
        <v>791</v>
      </c>
      <c r="B159" s="33">
        <v>10963</v>
      </c>
    </row>
    <row r="160" spans="1:2" x14ac:dyDescent="0.3">
      <c r="A160" s="33" t="s">
        <v>792</v>
      </c>
      <c r="B160" s="33">
        <v>10964</v>
      </c>
    </row>
    <row r="161" spans="1:2" x14ac:dyDescent="0.3">
      <c r="A161" s="33" t="s">
        <v>793</v>
      </c>
      <c r="B161" s="33">
        <v>10965</v>
      </c>
    </row>
    <row r="162" spans="1:2" x14ac:dyDescent="0.3">
      <c r="A162" s="33" t="s">
        <v>794</v>
      </c>
      <c r="B162" s="33">
        <v>10966</v>
      </c>
    </row>
    <row r="163" spans="1:2" x14ac:dyDescent="0.3">
      <c r="A163" s="33" t="s">
        <v>795</v>
      </c>
      <c r="B163" s="33">
        <v>10967</v>
      </c>
    </row>
    <row r="164" spans="1:2" x14ac:dyDescent="0.3">
      <c r="A164" s="33" t="s">
        <v>796</v>
      </c>
      <c r="B164" s="33">
        <v>10968</v>
      </c>
    </row>
    <row r="165" spans="1:2" x14ac:dyDescent="0.3">
      <c r="A165" s="33" t="s">
        <v>797</v>
      </c>
      <c r="B165" s="33">
        <v>10969</v>
      </c>
    </row>
    <row r="166" spans="1:2" x14ac:dyDescent="0.3">
      <c r="A166" s="33" t="s">
        <v>798</v>
      </c>
      <c r="B166" s="33">
        <v>10970</v>
      </c>
    </row>
    <row r="167" spans="1:2" x14ac:dyDescent="0.3">
      <c r="A167" s="33" t="s">
        <v>799</v>
      </c>
      <c r="B167" s="33">
        <v>10971</v>
      </c>
    </row>
    <row r="168" spans="1:2" x14ac:dyDescent="0.3">
      <c r="A168" s="33" t="s">
        <v>800</v>
      </c>
      <c r="B168" s="33">
        <v>10972</v>
      </c>
    </row>
    <row r="169" spans="1:2" x14ac:dyDescent="0.3">
      <c r="A169" s="33" t="s">
        <v>801</v>
      </c>
      <c r="B169" s="33">
        <v>10973</v>
      </c>
    </row>
    <row r="170" spans="1:2" x14ac:dyDescent="0.3">
      <c r="A170" s="33" t="s">
        <v>802</v>
      </c>
      <c r="B170" s="33">
        <v>10974</v>
      </c>
    </row>
    <row r="171" spans="1:2" x14ac:dyDescent="0.3">
      <c r="A171" s="33" t="s">
        <v>803</v>
      </c>
      <c r="B171" s="33">
        <v>10975</v>
      </c>
    </row>
    <row r="172" spans="1:2" x14ac:dyDescent="0.3">
      <c r="A172" s="33" t="s">
        <v>804</v>
      </c>
      <c r="B172" s="33">
        <v>10976</v>
      </c>
    </row>
    <row r="173" spans="1:2" x14ac:dyDescent="0.3">
      <c r="A173" s="33" t="s">
        <v>805</v>
      </c>
      <c r="B173" s="33">
        <v>10977</v>
      </c>
    </row>
    <row r="174" spans="1:2" x14ac:dyDescent="0.3">
      <c r="A174" s="33" t="s">
        <v>806</v>
      </c>
      <c r="B174" s="33">
        <v>10978</v>
      </c>
    </row>
    <row r="175" spans="1:2" x14ac:dyDescent="0.3">
      <c r="A175" s="33" t="s">
        <v>807</v>
      </c>
      <c r="B175" s="33">
        <v>10979</v>
      </c>
    </row>
    <row r="176" spans="1:2" x14ac:dyDescent="0.3">
      <c r="A176" s="33" t="s">
        <v>808</v>
      </c>
      <c r="B176" s="33">
        <v>10980</v>
      </c>
    </row>
    <row r="177" spans="1:2" x14ac:dyDescent="0.3">
      <c r="A177" s="33" t="s">
        <v>809</v>
      </c>
      <c r="B177" s="33">
        <v>10981</v>
      </c>
    </row>
    <row r="178" spans="1:2" x14ac:dyDescent="0.3">
      <c r="A178" s="33" t="s">
        <v>810</v>
      </c>
      <c r="B178" s="33">
        <v>10982</v>
      </c>
    </row>
    <row r="179" spans="1:2" x14ac:dyDescent="0.3">
      <c r="A179" s="33" t="s">
        <v>811</v>
      </c>
      <c r="B179" s="33">
        <v>10983</v>
      </c>
    </row>
    <row r="180" spans="1:2" x14ac:dyDescent="0.3">
      <c r="A180" s="33" t="s">
        <v>812</v>
      </c>
      <c r="B180" s="33">
        <v>10984</v>
      </c>
    </row>
    <row r="181" spans="1:2" x14ac:dyDescent="0.3">
      <c r="A181" s="33" t="s">
        <v>813</v>
      </c>
      <c r="B181" s="33">
        <v>10985</v>
      </c>
    </row>
    <row r="182" spans="1:2" x14ac:dyDescent="0.3">
      <c r="A182" s="33" t="s">
        <v>814</v>
      </c>
      <c r="B182" s="33">
        <v>10986</v>
      </c>
    </row>
    <row r="183" spans="1:2" x14ac:dyDescent="0.3">
      <c r="A183" s="33" t="s">
        <v>815</v>
      </c>
      <c r="B183" s="33">
        <v>10987</v>
      </c>
    </row>
    <row r="184" spans="1:2" x14ac:dyDescent="0.3">
      <c r="A184" s="33" t="s">
        <v>816</v>
      </c>
      <c r="B184" s="33">
        <v>10988</v>
      </c>
    </row>
    <row r="185" spans="1:2" x14ac:dyDescent="0.3">
      <c r="A185" s="33" t="s">
        <v>641</v>
      </c>
      <c r="B185" s="33">
        <v>10989</v>
      </c>
    </row>
    <row r="186" spans="1:2" x14ac:dyDescent="0.3">
      <c r="A186" s="33" t="s">
        <v>817</v>
      </c>
      <c r="B186" s="33">
        <v>10990</v>
      </c>
    </row>
    <row r="187" spans="1:2" x14ac:dyDescent="0.3">
      <c r="A187" s="33" t="s">
        <v>818</v>
      </c>
      <c r="B187" s="33">
        <v>10991</v>
      </c>
    </row>
    <row r="188" spans="1:2" x14ac:dyDescent="0.3">
      <c r="A188" s="33" t="s">
        <v>819</v>
      </c>
      <c r="B188" s="33">
        <v>10992</v>
      </c>
    </row>
    <row r="189" spans="1:2" x14ac:dyDescent="0.3">
      <c r="A189" s="33" t="s">
        <v>820</v>
      </c>
      <c r="B189" s="33">
        <v>10993</v>
      </c>
    </row>
    <row r="190" spans="1:2" x14ac:dyDescent="0.3">
      <c r="A190" s="33" t="s">
        <v>821</v>
      </c>
      <c r="B190" s="33">
        <v>10994</v>
      </c>
    </row>
    <row r="191" spans="1:2" x14ac:dyDescent="0.3">
      <c r="A191" s="33" t="s">
        <v>822</v>
      </c>
      <c r="B191" s="33">
        <v>10995</v>
      </c>
    </row>
    <row r="192" spans="1:2" x14ac:dyDescent="0.3">
      <c r="A192" s="33" t="s">
        <v>823</v>
      </c>
      <c r="B192" s="33">
        <v>10996</v>
      </c>
    </row>
    <row r="193" spans="1:2" x14ac:dyDescent="0.3">
      <c r="A193" s="33" t="s">
        <v>824</v>
      </c>
      <c r="B193" s="33">
        <v>10997</v>
      </c>
    </row>
    <row r="194" spans="1:2" x14ac:dyDescent="0.3">
      <c r="A194" s="33" t="s">
        <v>825</v>
      </c>
      <c r="B194" s="33">
        <v>10998</v>
      </c>
    </row>
    <row r="195" spans="1:2" x14ac:dyDescent="0.3">
      <c r="A195" s="33" t="s">
        <v>826</v>
      </c>
      <c r="B195" s="33">
        <v>10999</v>
      </c>
    </row>
    <row r="196" spans="1:2" x14ac:dyDescent="0.3">
      <c r="A196" s="33" t="s">
        <v>827</v>
      </c>
      <c r="B196" s="33">
        <v>11000</v>
      </c>
    </row>
    <row r="197" spans="1:2" x14ac:dyDescent="0.3">
      <c r="A197" s="33" t="s">
        <v>828</v>
      </c>
      <c r="B197" s="33">
        <v>11001</v>
      </c>
    </row>
    <row r="198" spans="1:2" x14ac:dyDescent="0.3">
      <c r="A198" s="33" t="s">
        <v>829</v>
      </c>
      <c r="B198" s="33">
        <v>11002</v>
      </c>
    </row>
    <row r="199" spans="1:2" x14ac:dyDescent="0.3">
      <c r="A199" s="33" t="s">
        <v>830</v>
      </c>
      <c r="B199" s="33">
        <v>11003</v>
      </c>
    </row>
    <row r="200" spans="1:2" x14ac:dyDescent="0.3">
      <c r="A200" s="33" t="s">
        <v>831</v>
      </c>
      <c r="B200" s="33">
        <v>11004</v>
      </c>
    </row>
    <row r="201" spans="1:2" x14ac:dyDescent="0.3">
      <c r="A201" s="33" t="s">
        <v>832</v>
      </c>
      <c r="B201" s="33">
        <v>11005</v>
      </c>
    </row>
    <row r="202" spans="1:2" x14ac:dyDescent="0.3">
      <c r="A202" s="33" t="s">
        <v>640</v>
      </c>
      <c r="B202" s="33">
        <v>11006</v>
      </c>
    </row>
    <row r="203" spans="1:2" x14ac:dyDescent="0.3">
      <c r="A203" s="33" t="s">
        <v>833</v>
      </c>
      <c r="B203" s="33">
        <v>11007</v>
      </c>
    </row>
    <row r="204" spans="1:2" x14ac:dyDescent="0.3">
      <c r="A204" s="33" t="s">
        <v>834</v>
      </c>
      <c r="B204" s="33">
        <v>11008</v>
      </c>
    </row>
    <row r="205" spans="1:2" x14ac:dyDescent="0.3">
      <c r="A205" s="33" t="s">
        <v>835</v>
      </c>
      <c r="B205" s="33">
        <v>11013</v>
      </c>
    </row>
    <row r="206" spans="1:2" x14ac:dyDescent="0.3">
      <c r="A206" s="33" t="s">
        <v>836</v>
      </c>
      <c r="B206" s="33">
        <v>11014</v>
      </c>
    </row>
    <row r="207" spans="1:2" x14ac:dyDescent="0.3">
      <c r="A207" s="33" t="s">
        <v>837</v>
      </c>
      <c r="B207" s="33">
        <v>11015</v>
      </c>
    </row>
    <row r="208" spans="1:2" x14ac:dyDescent="0.3">
      <c r="A208" s="33" t="s">
        <v>838</v>
      </c>
      <c r="B208" s="33">
        <v>11016</v>
      </c>
    </row>
    <row r="209" spans="1:2" x14ac:dyDescent="0.3">
      <c r="A209" s="33" t="s">
        <v>1004</v>
      </c>
      <c r="B209">
        <v>9648</v>
      </c>
    </row>
    <row r="210" spans="1:2" x14ac:dyDescent="0.3">
      <c r="A210" s="33" t="s">
        <v>1030</v>
      </c>
      <c r="B210">
        <v>9651</v>
      </c>
    </row>
    <row r="211" spans="1:2" x14ac:dyDescent="0.3">
      <c r="A211" s="33" t="s">
        <v>1037</v>
      </c>
      <c r="B211">
        <v>9654</v>
      </c>
    </row>
    <row r="212" spans="1:2" x14ac:dyDescent="0.3">
      <c r="A212" s="33" t="s">
        <v>1069</v>
      </c>
      <c r="B212">
        <v>9657</v>
      </c>
    </row>
    <row r="213" spans="1:2" x14ac:dyDescent="0.3">
      <c r="A213" s="33" t="s">
        <v>1044</v>
      </c>
      <c r="B213">
        <v>9660</v>
      </c>
    </row>
    <row r="214" spans="1:2" x14ac:dyDescent="0.3">
      <c r="A214" s="33" t="s">
        <v>1060</v>
      </c>
      <c r="B214">
        <v>9663</v>
      </c>
    </row>
    <row r="215" spans="1:2" x14ac:dyDescent="0.3">
      <c r="A215" s="33" t="s">
        <v>1067</v>
      </c>
      <c r="B215">
        <v>9666</v>
      </c>
    </row>
    <row r="216" spans="1:2" x14ac:dyDescent="0.3">
      <c r="A216" s="33" t="s">
        <v>1039</v>
      </c>
      <c r="B216">
        <v>9669</v>
      </c>
    </row>
    <row r="217" spans="1:2" x14ac:dyDescent="0.3">
      <c r="A217" s="33" t="s">
        <v>1072</v>
      </c>
      <c r="B217">
        <v>9672</v>
      </c>
    </row>
    <row r="218" spans="1:2" x14ac:dyDescent="0.3">
      <c r="A218" s="33" t="s">
        <v>1045</v>
      </c>
      <c r="B218">
        <v>9701</v>
      </c>
    </row>
    <row r="219" spans="1:2" x14ac:dyDescent="0.3">
      <c r="A219" s="33" t="s">
        <v>985</v>
      </c>
      <c r="B219">
        <v>9704</v>
      </c>
    </row>
    <row r="220" spans="1:2" x14ac:dyDescent="0.3">
      <c r="A220" s="33" t="s">
        <v>1038</v>
      </c>
      <c r="B220">
        <v>9707</v>
      </c>
    </row>
    <row r="221" spans="1:2" x14ac:dyDescent="0.3">
      <c r="A221" s="33" t="s">
        <v>1061</v>
      </c>
      <c r="B221">
        <v>9710</v>
      </c>
    </row>
    <row r="222" spans="1:2" x14ac:dyDescent="0.3">
      <c r="A222" s="33" t="s">
        <v>1005</v>
      </c>
      <c r="B222">
        <v>9713</v>
      </c>
    </row>
    <row r="223" spans="1:2" x14ac:dyDescent="0.3">
      <c r="A223" s="33" t="s">
        <v>986</v>
      </c>
      <c r="B223">
        <v>9716</v>
      </c>
    </row>
    <row r="224" spans="1:2" x14ac:dyDescent="0.3">
      <c r="A224" s="33" t="s">
        <v>1006</v>
      </c>
      <c r="B224">
        <v>9719</v>
      </c>
    </row>
    <row r="225" spans="1:2" x14ac:dyDescent="0.3">
      <c r="A225" s="33" t="s">
        <v>1031</v>
      </c>
      <c r="B225">
        <v>9722</v>
      </c>
    </row>
    <row r="226" spans="1:2" x14ac:dyDescent="0.3">
      <c r="A226" s="33" t="s">
        <v>1007</v>
      </c>
      <c r="B226">
        <v>9725</v>
      </c>
    </row>
    <row r="227" spans="1:2" x14ac:dyDescent="0.3">
      <c r="A227" s="33" t="s">
        <v>1046</v>
      </c>
      <c r="B227">
        <v>9728</v>
      </c>
    </row>
    <row r="228" spans="1:2" x14ac:dyDescent="0.3">
      <c r="A228" s="33" t="s">
        <v>1047</v>
      </c>
      <c r="B228" s="51">
        <v>9731</v>
      </c>
    </row>
    <row r="229" spans="1:2" x14ac:dyDescent="0.3">
      <c r="A229" s="33" t="s">
        <v>987</v>
      </c>
      <c r="B229">
        <v>9734</v>
      </c>
    </row>
    <row r="230" spans="1:2" x14ac:dyDescent="0.3">
      <c r="A230" s="33" t="s">
        <v>1048</v>
      </c>
      <c r="B230">
        <v>9737</v>
      </c>
    </row>
    <row r="231" spans="1:2" x14ac:dyDescent="0.3">
      <c r="A231" s="33" t="s">
        <v>1049</v>
      </c>
      <c r="B231">
        <v>9740</v>
      </c>
    </row>
    <row r="232" spans="1:2" x14ac:dyDescent="0.3">
      <c r="A232" s="33" t="s">
        <v>1008</v>
      </c>
      <c r="B232">
        <v>9743</v>
      </c>
    </row>
    <row r="233" spans="1:2" x14ac:dyDescent="0.3">
      <c r="A233" s="33" t="s">
        <v>1009</v>
      </c>
      <c r="B233">
        <v>9746</v>
      </c>
    </row>
    <row r="234" spans="1:2" x14ac:dyDescent="0.3">
      <c r="A234" s="33" t="s">
        <v>988</v>
      </c>
      <c r="B234">
        <v>9749</v>
      </c>
    </row>
    <row r="235" spans="1:2" x14ac:dyDescent="0.3">
      <c r="A235" s="33" t="s">
        <v>1050</v>
      </c>
      <c r="B235">
        <v>9752</v>
      </c>
    </row>
    <row r="236" spans="1:2" x14ac:dyDescent="0.3">
      <c r="A236" s="33" t="s">
        <v>989</v>
      </c>
      <c r="B236">
        <v>9755</v>
      </c>
    </row>
    <row r="237" spans="1:2" x14ac:dyDescent="0.3">
      <c r="A237" s="33" t="s">
        <v>1062</v>
      </c>
      <c r="B237">
        <v>9758</v>
      </c>
    </row>
    <row r="238" spans="1:2" x14ac:dyDescent="0.3">
      <c r="A238" s="33" t="s">
        <v>1010</v>
      </c>
      <c r="B238">
        <v>9761</v>
      </c>
    </row>
    <row r="239" spans="1:2" x14ac:dyDescent="0.3">
      <c r="A239" s="33" t="s">
        <v>1011</v>
      </c>
      <c r="B239">
        <v>9764</v>
      </c>
    </row>
    <row r="240" spans="1:2" x14ac:dyDescent="0.3">
      <c r="A240" s="33" t="s">
        <v>1012</v>
      </c>
      <c r="B240">
        <v>9767</v>
      </c>
    </row>
    <row r="241" spans="1:2" x14ac:dyDescent="0.3">
      <c r="A241" s="33" t="s">
        <v>1013</v>
      </c>
      <c r="B241">
        <v>9770</v>
      </c>
    </row>
    <row r="242" spans="1:2" x14ac:dyDescent="0.3">
      <c r="A242" s="33" t="s">
        <v>1014</v>
      </c>
      <c r="B242">
        <v>9773</v>
      </c>
    </row>
    <row r="243" spans="1:2" x14ac:dyDescent="0.3">
      <c r="A243" s="33" t="s">
        <v>1015</v>
      </c>
      <c r="B243">
        <v>9776</v>
      </c>
    </row>
    <row r="244" spans="1:2" x14ac:dyDescent="0.3">
      <c r="A244" s="33" t="s">
        <v>1016</v>
      </c>
      <c r="B244">
        <v>9779</v>
      </c>
    </row>
    <row r="245" spans="1:2" x14ac:dyDescent="0.3">
      <c r="A245" s="33" t="s">
        <v>990</v>
      </c>
      <c r="B245">
        <v>9782</v>
      </c>
    </row>
    <row r="246" spans="1:2" x14ac:dyDescent="0.3">
      <c r="A246" s="33" t="s">
        <v>1017</v>
      </c>
      <c r="B246">
        <v>9785</v>
      </c>
    </row>
    <row r="247" spans="1:2" x14ac:dyDescent="0.3">
      <c r="A247" s="33" t="s">
        <v>991</v>
      </c>
      <c r="B247">
        <v>9788</v>
      </c>
    </row>
    <row r="248" spans="1:2" x14ac:dyDescent="0.3">
      <c r="A248" s="33" t="s">
        <v>1051</v>
      </c>
      <c r="B248">
        <v>9791</v>
      </c>
    </row>
    <row r="249" spans="1:2" x14ac:dyDescent="0.3">
      <c r="A249" s="33" t="s">
        <v>1018</v>
      </c>
      <c r="B249">
        <v>9794</v>
      </c>
    </row>
    <row r="250" spans="1:2" x14ac:dyDescent="0.3">
      <c r="A250" s="33" t="s">
        <v>1019</v>
      </c>
      <c r="B250">
        <v>9797</v>
      </c>
    </row>
    <row r="251" spans="1:2" x14ac:dyDescent="0.3">
      <c r="A251" s="33" t="s">
        <v>1052</v>
      </c>
      <c r="B251">
        <v>9800</v>
      </c>
    </row>
    <row r="252" spans="1:2" x14ac:dyDescent="0.3">
      <c r="A252" s="33" t="s">
        <v>1063</v>
      </c>
      <c r="B252">
        <v>9803</v>
      </c>
    </row>
    <row r="253" spans="1:2" x14ac:dyDescent="0.3">
      <c r="A253" s="33" t="s">
        <v>1020</v>
      </c>
      <c r="B253">
        <v>9806</v>
      </c>
    </row>
    <row r="254" spans="1:2" x14ac:dyDescent="0.3">
      <c r="A254" s="33" t="s">
        <v>1021</v>
      </c>
      <c r="B254" s="51">
        <v>9809</v>
      </c>
    </row>
    <row r="255" spans="1:2" x14ac:dyDescent="0.3">
      <c r="A255" s="33" t="s">
        <v>992</v>
      </c>
      <c r="B255">
        <v>9812</v>
      </c>
    </row>
    <row r="256" spans="1:2" x14ac:dyDescent="0.3">
      <c r="A256" s="33" t="s">
        <v>993</v>
      </c>
      <c r="B256">
        <v>9815</v>
      </c>
    </row>
    <row r="257" spans="1:2" x14ac:dyDescent="0.3">
      <c r="A257" s="33" t="s">
        <v>1022</v>
      </c>
      <c r="B257">
        <v>9818</v>
      </c>
    </row>
    <row r="258" spans="1:2" x14ac:dyDescent="0.3">
      <c r="A258" s="33" t="s">
        <v>994</v>
      </c>
      <c r="B258">
        <v>9821</v>
      </c>
    </row>
    <row r="259" spans="1:2" x14ac:dyDescent="0.3">
      <c r="A259" s="33" t="s">
        <v>995</v>
      </c>
      <c r="B259">
        <v>9824</v>
      </c>
    </row>
    <row r="260" spans="1:2" x14ac:dyDescent="0.3">
      <c r="A260" s="33" t="s">
        <v>1068</v>
      </c>
      <c r="B260">
        <v>9827</v>
      </c>
    </row>
    <row r="261" spans="1:2" x14ac:dyDescent="0.3">
      <c r="A261" s="33" t="s">
        <v>996</v>
      </c>
      <c r="B261" s="51">
        <v>9830</v>
      </c>
    </row>
    <row r="262" spans="1:2" x14ac:dyDescent="0.3">
      <c r="A262" s="33" t="s">
        <v>997</v>
      </c>
      <c r="B262">
        <v>9833</v>
      </c>
    </row>
    <row r="263" spans="1:2" x14ac:dyDescent="0.3">
      <c r="A263" s="33" t="s">
        <v>1070</v>
      </c>
      <c r="B263" s="51">
        <v>9834</v>
      </c>
    </row>
    <row r="264" spans="1:2" x14ac:dyDescent="0.3">
      <c r="A264" s="33" t="s">
        <v>1023</v>
      </c>
      <c r="B264">
        <v>9839</v>
      </c>
    </row>
    <row r="265" spans="1:2" x14ac:dyDescent="0.3">
      <c r="A265" s="33" t="s">
        <v>1053</v>
      </c>
      <c r="B265">
        <v>9842</v>
      </c>
    </row>
    <row r="266" spans="1:2" x14ac:dyDescent="0.3">
      <c r="A266" s="33" t="s">
        <v>998</v>
      </c>
      <c r="B266">
        <v>9845</v>
      </c>
    </row>
    <row r="267" spans="1:2" x14ac:dyDescent="0.3">
      <c r="A267" s="33" t="s">
        <v>1032</v>
      </c>
      <c r="B267">
        <v>9848</v>
      </c>
    </row>
    <row r="268" spans="1:2" x14ac:dyDescent="0.3">
      <c r="A268" s="33" t="s">
        <v>1040</v>
      </c>
      <c r="B268" s="51">
        <v>9851</v>
      </c>
    </row>
    <row r="269" spans="1:2" x14ac:dyDescent="0.3">
      <c r="A269" s="33" t="s">
        <v>1054</v>
      </c>
      <c r="B269">
        <v>9854</v>
      </c>
    </row>
    <row r="270" spans="1:2" x14ac:dyDescent="0.3">
      <c r="A270" s="33" t="s">
        <v>1064</v>
      </c>
      <c r="B270">
        <v>9857</v>
      </c>
    </row>
    <row r="271" spans="1:2" x14ac:dyDescent="0.3">
      <c r="A271" s="33" t="s">
        <v>1024</v>
      </c>
      <c r="B271">
        <v>9860</v>
      </c>
    </row>
    <row r="272" spans="1:2" x14ac:dyDescent="0.3">
      <c r="A272" s="33" t="s">
        <v>1025</v>
      </c>
      <c r="B272">
        <v>9863</v>
      </c>
    </row>
    <row r="273" spans="1:2" x14ac:dyDescent="0.3">
      <c r="A273" s="33" t="s">
        <v>1033</v>
      </c>
      <c r="B273">
        <v>9866</v>
      </c>
    </row>
    <row r="274" spans="1:2" x14ac:dyDescent="0.3">
      <c r="A274" s="33" t="s">
        <v>1055</v>
      </c>
      <c r="B274">
        <v>9869</v>
      </c>
    </row>
    <row r="275" spans="1:2" x14ac:dyDescent="0.3">
      <c r="A275" s="33" t="s">
        <v>999</v>
      </c>
      <c r="B275">
        <v>9872</v>
      </c>
    </row>
    <row r="276" spans="1:2" x14ac:dyDescent="0.3">
      <c r="A276" s="33" t="s">
        <v>1056</v>
      </c>
      <c r="B276">
        <v>9873</v>
      </c>
    </row>
    <row r="277" spans="1:2" x14ac:dyDescent="0.3">
      <c r="A277" s="33" t="s">
        <v>1026</v>
      </c>
      <c r="B277">
        <v>9878</v>
      </c>
    </row>
    <row r="278" spans="1:2" x14ac:dyDescent="0.3">
      <c r="A278" s="33" t="s">
        <v>1057</v>
      </c>
      <c r="B278">
        <v>9881</v>
      </c>
    </row>
    <row r="279" spans="1:2" x14ac:dyDescent="0.3">
      <c r="A279" s="33" t="s">
        <v>1071</v>
      </c>
      <c r="B279">
        <v>9884</v>
      </c>
    </row>
    <row r="280" spans="1:2" x14ac:dyDescent="0.3">
      <c r="A280" s="33" t="s">
        <v>1000</v>
      </c>
      <c r="B280">
        <v>9887</v>
      </c>
    </row>
    <row r="281" spans="1:2" x14ac:dyDescent="0.3">
      <c r="A281" s="33" t="s">
        <v>1041</v>
      </c>
      <c r="B281">
        <v>9890</v>
      </c>
    </row>
    <row r="282" spans="1:2" x14ac:dyDescent="0.3">
      <c r="A282" s="33" t="s">
        <v>1042</v>
      </c>
      <c r="B282">
        <v>9893</v>
      </c>
    </row>
    <row r="283" spans="1:2" x14ac:dyDescent="0.3">
      <c r="A283" s="33" t="s">
        <v>1043</v>
      </c>
      <c r="B283">
        <v>9896</v>
      </c>
    </row>
    <row r="284" spans="1:2" x14ac:dyDescent="0.3">
      <c r="A284" s="33" t="s">
        <v>1034</v>
      </c>
      <c r="B284" s="51">
        <v>9899</v>
      </c>
    </row>
    <row r="285" spans="1:2" x14ac:dyDescent="0.3">
      <c r="A285" s="33" t="s">
        <v>1065</v>
      </c>
      <c r="B285">
        <v>9902</v>
      </c>
    </row>
    <row r="286" spans="1:2" x14ac:dyDescent="0.3">
      <c r="A286" s="33" t="s">
        <v>1035</v>
      </c>
      <c r="B286">
        <v>9905</v>
      </c>
    </row>
    <row r="287" spans="1:2" x14ac:dyDescent="0.3">
      <c r="A287" s="33" t="s">
        <v>1058</v>
      </c>
      <c r="B287">
        <v>9908</v>
      </c>
    </row>
    <row r="288" spans="1:2" x14ac:dyDescent="0.3">
      <c r="A288" s="33" t="s">
        <v>1059</v>
      </c>
      <c r="B288">
        <v>9911</v>
      </c>
    </row>
    <row r="289" spans="1:2" x14ac:dyDescent="0.3">
      <c r="A289" s="33" t="s">
        <v>1001</v>
      </c>
      <c r="B289">
        <v>9914</v>
      </c>
    </row>
    <row r="290" spans="1:2" x14ac:dyDescent="0.3">
      <c r="A290" s="33" t="s">
        <v>1002</v>
      </c>
      <c r="B290">
        <v>9917</v>
      </c>
    </row>
    <row r="291" spans="1:2" x14ac:dyDescent="0.3">
      <c r="A291" s="33" t="s">
        <v>1003</v>
      </c>
      <c r="B291" s="51">
        <v>9920</v>
      </c>
    </row>
    <row r="292" spans="1:2" x14ac:dyDescent="0.3">
      <c r="A292" s="33" t="s">
        <v>1027</v>
      </c>
      <c r="B292">
        <v>9923</v>
      </c>
    </row>
    <row r="293" spans="1:2" x14ac:dyDescent="0.3">
      <c r="A293" s="33" t="s">
        <v>1066</v>
      </c>
      <c r="B293" s="51">
        <v>9926</v>
      </c>
    </row>
    <row r="294" spans="1:2" x14ac:dyDescent="0.3">
      <c r="A294" s="33" t="s">
        <v>1036</v>
      </c>
      <c r="B294">
        <v>9929</v>
      </c>
    </row>
    <row r="295" spans="1:2" x14ac:dyDescent="0.3">
      <c r="A295" s="33" t="s">
        <v>1028</v>
      </c>
      <c r="B295">
        <v>9932</v>
      </c>
    </row>
    <row r="296" spans="1:2" x14ac:dyDescent="0.3">
      <c r="A296" s="33" t="s">
        <v>1029</v>
      </c>
      <c r="B296" s="5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DC66-672D-492D-8914-316411D0C890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839</v>
      </c>
      <c r="B1" s="52">
        <v>1580</v>
      </c>
    </row>
    <row r="3" spans="1:8" x14ac:dyDescent="0.3">
      <c r="A3" s="33" t="s">
        <v>840</v>
      </c>
      <c r="B3" s="33" t="s">
        <v>841</v>
      </c>
      <c r="C3" s="33" t="s">
        <v>842</v>
      </c>
      <c r="E3" s="33" t="s">
        <v>843</v>
      </c>
      <c r="F3" s="33" t="s">
        <v>844</v>
      </c>
      <c r="G3" s="33" t="s">
        <v>845</v>
      </c>
      <c r="H3" s="36" t="s">
        <v>846</v>
      </c>
    </row>
    <row r="4" spans="1:8" x14ac:dyDescent="0.3">
      <c r="A4" s="33" t="s">
        <v>523</v>
      </c>
      <c r="B4" s="33">
        <v>3</v>
      </c>
      <c r="C4" s="33">
        <v>3</v>
      </c>
      <c r="E4" s="33">
        <f t="shared" ref="E4" si="0">plan_id</f>
        <v>1580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31-Dec-2012</v>
      </c>
    </row>
    <row r="5" spans="1:8" x14ac:dyDescent="0.3">
      <c r="A5" s="33" t="s">
        <v>523</v>
      </c>
      <c r="B5" s="33">
        <f>B4</f>
        <v>3</v>
      </c>
      <c r="C5" s="33">
        <f>C4+1</f>
        <v>4</v>
      </c>
      <c r="E5" s="33">
        <f t="shared" ref="E5" si="2">plan_id</f>
        <v>1580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523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1580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523</v>
      </c>
      <c r="B7" s="33">
        <f t="shared" si="5"/>
        <v>3</v>
      </c>
      <c r="C7" s="33">
        <f t="shared" si="6"/>
        <v>6</v>
      </c>
      <c r="E7" s="33">
        <f t="shared" ref="E7" si="9">plan_id</f>
        <v>1580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129138</v>
      </c>
    </row>
    <row r="8" spans="1:8" x14ac:dyDescent="0.3">
      <c r="A8" s="33" t="s">
        <v>523</v>
      </c>
      <c r="B8" s="33">
        <f t="shared" si="5"/>
        <v>3</v>
      </c>
      <c r="C8" s="33">
        <f t="shared" si="6"/>
        <v>7</v>
      </c>
      <c r="E8" s="33">
        <f t="shared" ref="E8" si="11">plan_id</f>
        <v>1580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206016</v>
      </c>
    </row>
    <row r="9" spans="1:8" x14ac:dyDescent="0.3">
      <c r="A9" s="33" t="s">
        <v>523</v>
      </c>
      <c r="B9" s="33">
        <f t="shared" si="5"/>
        <v>3</v>
      </c>
      <c r="C9" s="33">
        <f t="shared" si="6"/>
        <v>8</v>
      </c>
      <c r="E9" s="33">
        <f t="shared" ref="E9" si="13">plan_id</f>
        <v>1580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2604</v>
      </c>
    </row>
    <row r="10" spans="1:8" x14ac:dyDescent="0.3">
      <c r="A10" s="33" t="s">
        <v>523</v>
      </c>
      <c r="B10" s="33">
        <f t="shared" si="5"/>
        <v>3</v>
      </c>
      <c r="C10" s="33">
        <f t="shared" si="6"/>
        <v>9</v>
      </c>
      <c r="E10" s="33">
        <f t="shared" ref="E10" si="15">plan_id</f>
        <v>1580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33" t="s">
        <v>523</v>
      </c>
      <c r="B11" s="33">
        <f t="shared" si="5"/>
        <v>3</v>
      </c>
      <c r="C11" s="33">
        <f t="shared" si="6"/>
        <v>10</v>
      </c>
      <c r="E11" s="33">
        <f t="shared" ref="E11" si="17">plan_id</f>
        <v>1580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337758</v>
      </c>
    </row>
    <row r="12" spans="1:8" x14ac:dyDescent="0.3">
      <c r="A12" s="33" t="s">
        <v>523</v>
      </c>
      <c r="B12" s="33">
        <f t="shared" si="5"/>
        <v>3</v>
      </c>
      <c r="C12" s="33">
        <f t="shared" si="6"/>
        <v>11</v>
      </c>
      <c r="E12" s="33">
        <f t="shared" ref="E12" si="19">plan_id</f>
        <v>1580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33" t="s">
        <v>523</v>
      </c>
      <c r="B13" s="33">
        <f t="shared" si="5"/>
        <v>3</v>
      </c>
      <c r="C13" s="33">
        <f t="shared" si="6"/>
        <v>12</v>
      </c>
      <c r="E13" s="33">
        <f t="shared" ref="E13" si="21">plan_id</f>
        <v>1580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523</v>
      </c>
      <c r="B14" s="33">
        <f t="shared" si="5"/>
        <v>3</v>
      </c>
      <c r="C14" s="33">
        <f t="shared" si="6"/>
        <v>13</v>
      </c>
      <c r="E14" s="33">
        <f t="shared" ref="E14" si="23">plan_id</f>
        <v>1580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523</v>
      </c>
      <c r="B15" s="33">
        <f t="shared" si="5"/>
        <v>3</v>
      </c>
      <c r="C15" s="33">
        <f t="shared" si="6"/>
        <v>14</v>
      </c>
      <c r="E15" s="33">
        <f t="shared" ref="E15" si="25">plan_id</f>
        <v>1580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523</v>
      </c>
      <c r="B16" s="33">
        <f t="shared" si="5"/>
        <v>3</v>
      </c>
      <c r="C16" s="33">
        <f t="shared" si="6"/>
        <v>15</v>
      </c>
      <c r="E16" s="33">
        <f t="shared" ref="E16" si="27">plan_id</f>
        <v>1580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523</v>
      </c>
      <c r="B17" s="33">
        <f t="shared" si="5"/>
        <v>3</v>
      </c>
      <c r="C17" s="33">
        <f t="shared" si="6"/>
        <v>16</v>
      </c>
      <c r="E17" s="33">
        <f t="shared" ref="E17" si="29">plan_id</f>
        <v>1580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33" t="s">
        <v>523</v>
      </c>
      <c r="B18" s="33">
        <f t="shared" si="5"/>
        <v>3</v>
      </c>
      <c r="C18" s="33">
        <f t="shared" si="6"/>
        <v>17</v>
      </c>
      <c r="E18" s="33">
        <f t="shared" ref="E18" si="31">plan_id</f>
        <v>1580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63134800000</v>
      </c>
    </row>
    <row r="19" spans="1:8" x14ac:dyDescent="0.3">
      <c r="A19" s="33" t="s">
        <v>523</v>
      </c>
      <c r="B19" s="33">
        <f t="shared" si="5"/>
        <v>3</v>
      </c>
      <c r="C19" s="33">
        <f t="shared" si="6"/>
        <v>18</v>
      </c>
      <c r="E19" s="33">
        <f t="shared" ref="E19" si="33">plan_id</f>
        <v>1580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65401500000</v>
      </c>
    </row>
    <row r="20" spans="1:8" x14ac:dyDescent="0.3">
      <c r="A20" s="33" t="s">
        <v>523</v>
      </c>
      <c r="B20" s="33">
        <f t="shared" si="5"/>
        <v>3</v>
      </c>
      <c r="C20" s="33">
        <f t="shared" si="6"/>
        <v>19</v>
      </c>
      <c r="E20" s="33">
        <f t="shared" ref="E20" si="35">plan_id</f>
        <v>1580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-2266700000</v>
      </c>
    </row>
    <row r="21" spans="1:8" x14ac:dyDescent="0.3">
      <c r="A21" s="33" t="s">
        <v>523</v>
      </c>
      <c r="B21" s="33">
        <f t="shared" si="5"/>
        <v>3</v>
      </c>
      <c r="C21" s="33">
        <f t="shared" si="6"/>
        <v>20</v>
      </c>
      <c r="E21" s="33">
        <f t="shared" ref="E21" si="37">plan_id</f>
        <v>1580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1.036</v>
      </c>
    </row>
    <row r="22" spans="1:8" x14ac:dyDescent="0.3">
      <c r="A22" s="33" t="s">
        <v>523</v>
      </c>
      <c r="B22" s="33">
        <f t="shared" si="5"/>
        <v>3</v>
      </c>
      <c r="C22" s="33">
        <f t="shared" si="6"/>
        <v>21</v>
      </c>
      <c r="E22" s="33">
        <f t="shared" ref="E22" si="39">plan_id</f>
        <v>1580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8701700000</v>
      </c>
    </row>
    <row r="23" spans="1:8" x14ac:dyDescent="0.3">
      <c r="A23" s="33" t="s">
        <v>523</v>
      </c>
      <c r="B23" s="33">
        <f t="shared" si="5"/>
        <v>3</v>
      </c>
      <c r="C23" s="33">
        <f t="shared" si="6"/>
        <v>22</v>
      </c>
      <c r="E23" s="33">
        <f t="shared" ref="E23" si="41">plan_id</f>
        <v>1580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-2080783176</v>
      </c>
    </row>
    <row r="24" spans="1:8" x14ac:dyDescent="0.3">
      <c r="A24" s="33" t="s">
        <v>523</v>
      </c>
      <c r="B24" s="33">
        <f t="shared" si="5"/>
        <v>3</v>
      </c>
      <c r="C24" s="33">
        <f t="shared" si="6"/>
        <v>23</v>
      </c>
      <c r="E24" s="33">
        <f t="shared" ref="E24" si="43">plan_id</f>
        <v>1580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44578491</v>
      </c>
    </row>
    <row r="25" spans="1:8" x14ac:dyDescent="0.3">
      <c r="A25" s="33" t="s">
        <v>523</v>
      </c>
      <c r="B25" s="33">
        <f t="shared" si="5"/>
        <v>3</v>
      </c>
      <c r="C25" s="33">
        <f t="shared" si="6"/>
        <v>24</v>
      </c>
      <c r="E25" s="33">
        <f t="shared" ref="E25" si="45">plan_id</f>
        <v>1580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4418419607</v>
      </c>
    </row>
    <row r="26" spans="1:8" x14ac:dyDescent="0.3">
      <c r="A26" s="33" t="s">
        <v>523</v>
      </c>
      <c r="B26" s="33">
        <f t="shared" si="5"/>
        <v>3</v>
      </c>
      <c r="C26" s="33">
        <f t="shared" si="6"/>
        <v>25</v>
      </c>
      <c r="E26" s="33">
        <f t="shared" ref="E26" si="47">plan_id</f>
        <v>1580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9.9593757541629802E-2</v>
      </c>
    </row>
    <row r="27" spans="1:8" x14ac:dyDescent="0.3">
      <c r="A27" s="33" t="s">
        <v>523</v>
      </c>
      <c r="B27" s="33">
        <f t="shared" si="5"/>
        <v>3</v>
      </c>
      <c r="C27" s="33">
        <f t="shared" si="6"/>
        <v>26</v>
      </c>
      <c r="E27" s="33">
        <f t="shared" ref="E27" si="49">plan_id</f>
        <v>1580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9.9593757541629802E-2</v>
      </c>
    </row>
    <row r="28" spans="1:8" x14ac:dyDescent="0.3">
      <c r="A28" s="33" t="s">
        <v>523</v>
      </c>
      <c r="B28" s="33">
        <f t="shared" si="5"/>
        <v>3</v>
      </c>
      <c r="C28" s="33">
        <f t="shared" si="6"/>
        <v>27</v>
      </c>
      <c r="E28" s="33">
        <f t="shared" ref="E28" si="51">plan_id</f>
        <v>1580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866635000</v>
      </c>
    </row>
    <row r="29" spans="1:8" x14ac:dyDescent="0.3">
      <c r="A29" s="33" t="s">
        <v>523</v>
      </c>
      <c r="B29" s="33">
        <f t="shared" si="5"/>
        <v>3</v>
      </c>
      <c r="C29" s="33">
        <f t="shared" si="6"/>
        <v>28</v>
      </c>
      <c r="E29" s="33">
        <f t="shared" ref="E29" si="53">plan_id</f>
        <v>1580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866635000</v>
      </c>
    </row>
    <row r="30" spans="1:8" x14ac:dyDescent="0.3">
      <c r="A30" s="33" t="s">
        <v>523</v>
      </c>
      <c r="B30" s="33">
        <f t="shared" si="5"/>
        <v>3</v>
      </c>
      <c r="C30" s="33">
        <f t="shared" si="6"/>
        <v>29</v>
      </c>
      <c r="E30" s="33">
        <f t="shared" ref="E30" si="55">plan_id</f>
        <v>1580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3" t="s">
        <v>523</v>
      </c>
      <c r="B31" s="33">
        <f t="shared" si="5"/>
        <v>3</v>
      </c>
      <c r="C31" s="33">
        <f t="shared" si="6"/>
        <v>30</v>
      </c>
      <c r="E31" s="33">
        <f t="shared" ref="E31" si="57">plan_id</f>
        <v>1580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3" t="s">
        <v>523</v>
      </c>
      <c r="B32" s="33">
        <f t="shared" si="5"/>
        <v>3</v>
      </c>
      <c r="C32" s="33">
        <f t="shared" si="6"/>
        <v>31</v>
      </c>
      <c r="E32" s="33">
        <f t="shared" ref="E32" si="59">plan_id</f>
        <v>1580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1020300000</v>
      </c>
    </row>
    <row r="33" spans="1:8" x14ac:dyDescent="0.3">
      <c r="A33" s="33" t="s">
        <v>523</v>
      </c>
      <c r="B33" s="33">
        <f t="shared" si="5"/>
        <v>3</v>
      </c>
      <c r="C33" s="33">
        <f t="shared" si="6"/>
        <v>32</v>
      </c>
      <c r="E33" s="33">
        <f t="shared" ref="E33" si="61">plan_id</f>
        <v>1580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4819500000</v>
      </c>
    </row>
    <row r="34" spans="1:8" x14ac:dyDescent="0.3">
      <c r="A34" s="33" t="s">
        <v>523</v>
      </c>
      <c r="B34" s="33">
        <f t="shared" si="5"/>
        <v>3</v>
      </c>
      <c r="C34" s="33">
        <f t="shared" si="6"/>
        <v>33</v>
      </c>
      <c r="E34" s="33">
        <f t="shared" ref="E34" si="63">plan_id</f>
        <v>1580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-2423700000</v>
      </c>
    </row>
    <row r="35" spans="1:8" x14ac:dyDescent="0.3">
      <c r="A35" s="33" t="s">
        <v>523</v>
      </c>
      <c r="B35" s="33">
        <f t="shared" si="5"/>
        <v>3</v>
      </c>
      <c r="C35" s="33">
        <f t="shared" si="6"/>
        <v>34</v>
      </c>
      <c r="E35" s="33">
        <f t="shared" ref="E35" si="65">plan_id</f>
        <v>1580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523</v>
      </c>
      <c r="B36" s="33">
        <f t="shared" si="5"/>
        <v>3</v>
      </c>
      <c r="C36" s="33">
        <f t="shared" si="6"/>
        <v>35</v>
      </c>
      <c r="E36" s="33">
        <f t="shared" ref="E36" si="67">plan_id</f>
        <v>1580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523</v>
      </c>
      <c r="B37" s="33">
        <f t="shared" si="5"/>
        <v>3</v>
      </c>
      <c r="C37" s="33">
        <f t="shared" si="6"/>
        <v>36</v>
      </c>
      <c r="E37" s="33">
        <f t="shared" ref="E37" si="69">plan_id</f>
        <v>1580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-15300000</v>
      </c>
    </row>
    <row r="38" spans="1:8" x14ac:dyDescent="0.3">
      <c r="A38" s="33" t="s">
        <v>523</v>
      </c>
      <c r="B38" s="33">
        <f t="shared" si="5"/>
        <v>3</v>
      </c>
      <c r="C38" s="33">
        <f t="shared" si="6"/>
        <v>37</v>
      </c>
      <c r="E38" s="33">
        <f t="shared" ref="E38" si="71">plan_id</f>
        <v>1580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523</v>
      </c>
      <c r="B39" s="33">
        <f t="shared" si="5"/>
        <v>3</v>
      </c>
      <c r="C39" s="33">
        <f t="shared" si="6"/>
        <v>38</v>
      </c>
      <c r="E39" s="33">
        <f t="shared" ref="E39" si="73">plan_id</f>
        <v>1580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523</v>
      </c>
      <c r="B40" s="33">
        <f t="shared" si="5"/>
        <v>3</v>
      </c>
      <c r="C40" s="33">
        <f t="shared" si="6"/>
        <v>39</v>
      </c>
      <c r="E40" s="33">
        <f t="shared" ref="E40" si="75">plan_id</f>
        <v>1580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31200000</v>
      </c>
    </row>
    <row r="41" spans="1:8" x14ac:dyDescent="0.3">
      <c r="A41" s="33" t="s">
        <v>523</v>
      </c>
      <c r="B41" s="33">
        <f t="shared" si="5"/>
        <v>3</v>
      </c>
      <c r="C41" s="33">
        <f t="shared" si="6"/>
        <v>40</v>
      </c>
      <c r="E41" s="33">
        <f t="shared" ref="E41" si="77">plan_id</f>
        <v>1580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523</v>
      </c>
      <c r="B42" s="33">
        <f t="shared" si="5"/>
        <v>3</v>
      </c>
      <c r="C42" s="33">
        <f t="shared" si="6"/>
        <v>41</v>
      </c>
      <c r="E42" s="33">
        <f t="shared" ref="E42" si="79">plan_id</f>
        <v>1580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523</v>
      </c>
      <c r="B43" s="33">
        <f t="shared" si="5"/>
        <v>3</v>
      </c>
      <c r="C43" s="33">
        <f t="shared" si="6"/>
        <v>42</v>
      </c>
      <c r="E43" s="33">
        <f t="shared" ref="E43" si="81">plan_id</f>
        <v>1580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523</v>
      </c>
      <c r="B44" s="33">
        <f t="shared" si="5"/>
        <v>3</v>
      </c>
      <c r="C44" s="33">
        <f t="shared" si="6"/>
        <v>43</v>
      </c>
      <c r="E44" s="33">
        <f t="shared" ref="E44" si="83">plan_id</f>
        <v>1580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-2080783176</v>
      </c>
    </row>
    <row r="45" spans="1:8" x14ac:dyDescent="0.3">
      <c r="A45" s="33" t="s">
        <v>523</v>
      </c>
      <c r="B45" s="33">
        <f t="shared" si="5"/>
        <v>3</v>
      </c>
      <c r="C45" s="33">
        <f t="shared" si="6"/>
        <v>44</v>
      </c>
      <c r="E45" s="33">
        <f t="shared" ref="E45" si="85">plan_id</f>
        <v>1580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3" t="s">
        <v>523</v>
      </c>
      <c r="B46" s="33">
        <f t="shared" si="5"/>
        <v>3</v>
      </c>
      <c r="C46" s="33">
        <f t="shared" si="6"/>
        <v>45</v>
      </c>
      <c r="E46" s="33">
        <f t="shared" ref="E46" si="87">plan_id</f>
        <v>1580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3" t="s">
        <v>523</v>
      </c>
      <c r="B47" s="33">
        <f t="shared" si="5"/>
        <v>3</v>
      </c>
      <c r="C47" s="33">
        <f t="shared" si="6"/>
        <v>46</v>
      </c>
      <c r="E47" s="33">
        <f t="shared" ref="E47" si="89">plan_id</f>
        <v>1580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3" t="s">
        <v>523</v>
      </c>
      <c r="B48" s="33">
        <f t="shared" si="5"/>
        <v>3</v>
      </c>
      <c r="C48" s="33">
        <f t="shared" si="6"/>
        <v>47</v>
      </c>
      <c r="E48" s="33">
        <f t="shared" ref="E48" si="91">plan_id</f>
        <v>1580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4800100000</v>
      </c>
    </row>
    <row r="49" spans="1:8" x14ac:dyDescent="0.3">
      <c r="A49" s="33" t="s">
        <v>523</v>
      </c>
      <c r="B49" s="33">
        <f t="shared" si="5"/>
        <v>3</v>
      </c>
      <c r="C49" s="33">
        <f t="shared" si="6"/>
        <v>48</v>
      </c>
      <c r="E49" s="33">
        <f t="shared" ref="E49" si="93">plan_id</f>
        <v>1580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-2266700000</v>
      </c>
    </row>
    <row r="50" spans="1:8" x14ac:dyDescent="0.3">
      <c r="A50" s="33" t="s">
        <v>523</v>
      </c>
      <c r="B50" s="33">
        <f t="shared" si="5"/>
        <v>3</v>
      </c>
      <c r="C50" s="33">
        <f t="shared" si="6"/>
        <v>49</v>
      </c>
      <c r="E50" s="33">
        <f t="shared" ref="E50" si="95">plan_id</f>
        <v>1580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-8243600000</v>
      </c>
    </row>
    <row r="51" spans="1:8" x14ac:dyDescent="0.3">
      <c r="A51" s="33" t="s">
        <v>523</v>
      </c>
      <c r="B51" s="33">
        <f t="shared" si="5"/>
        <v>3</v>
      </c>
      <c r="C51" s="33">
        <f t="shared" si="6"/>
        <v>50</v>
      </c>
      <c r="E51" s="33">
        <f t="shared" ref="E51" si="97">plan_id</f>
        <v>1580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523</v>
      </c>
      <c r="B52" s="33">
        <f t="shared" si="5"/>
        <v>3</v>
      </c>
      <c r="C52" s="33">
        <f t="shared" si="6"/>
        <v>51</v>
      </c>
      <c r="E52" s="33">
        <f t="shared" ref="E52" si="99">plan_id</f>
        <v>1580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63582100000</v>
      </c>
    </row>
    <row r="53" spans="1:8" x14ac:dyDescent="0.3">
      <c r="A53" s="33" t="s">
        <v>523</v>
      </c>
      <c r="B53" s="33">
        <f t="shared" si="5"/>
        <v>3</v>
      </c>
      <c r="C53" s="33">
        <f t="shared" si="6"/>
        <v>52</v>
      </c>
      <c r="E53" s="33">
        <f t="shared" ref="E53" si="101">plan_id</f>
        <v>1580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1020300000</v>
      </c>
    </row>
    <row r="54" spans="1:8" x14ac:dyDescent="0.3">
      <c r="A54" s="33" t="s">
        <v>523</v>
      </c>
      <c r="B54" s="33">
        <f t="shared" si="5"/>
        <v>3</v>
      </c>
      <c r="C54" s="33">
        <f t="shared" si="6"/>
        <v>53</v>
      </c>
      <c r="E54" s="33">
        <f t="shared" ref="E54" si="103">plan_id</f>
        <v>1580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4819500000</v>
      </c>
    </row>
    <row r="55" spans="1:8" x14ac:dyDescent="0.3">
      <c r="A55" s="33" t="s">
        <v>523</v>
      </c>
      <c r="B55" s="33">
        <f t="shared" si="5"/>
        <v>3</v>
      </c>
      <c r="C55" s="33">
        <f t="shared" si="6"/>
        <v>54</v>
      </c>
      <c r="E55" s="33">
        <f t="shared" ref="E55" si="105">plan_id</f>
        <v>1580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-2423700000</v>
      </c>
    </row>
    <row r="56" spans="1:8" x14ac:dyDescent="0.3">
      <c r="A56" s="33" t="s">
        <v>523</v>
      </c>
      <c r="B56" s="33">
        <f t="shared" si="5"/>
        <v>3</v>
      </c>
      <c r="C56" s="33">
        <f t="shared" si="6"/>
        <v>55</v>
      </c>
      <c r="E56" s="33">
        <f t="shared" ref="E56" si="107">plan_id</f>
        <v>1580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523</v>
      </c>
      <c r="B57" s="33">
        <f t="shared" si="5"/>
        <v>3</v>
      </c>
      <c r="C57" s="33">
        <f t="shared" si="6"/>
        <v>56</v>
      </c>
      <c r="E57" s="33">
        <f t="shared" ref="E57" si="109">plan_id</f>
        <v>1580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523</v>
      </c>
      <c r="B58" s="33">
        <f t="shared" si="5"/>
        <v>3</v>
      </c>
      <c r="C58" s="33">
        <f t="shared" si="6"/>
        <v>57</v>
      </c>
      <c r="E58" s="33">
        <f t="shared" ref="E58" si="111">plan_id</f>
        <v>1580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915200000</v>
      </c>
    </row>
    <row r="59" spans="1:8" x14ac:dyDescent="0.3">
      <c r="A59" s="33" t="s">
        <v>523</v>
      </c>
      <c r="B59" s="33">
        <f t="shared" si="5"/>
        <v>3</v>
      </c>
      <c r="C59" s="33">
        <f t="shared" si="6"/>
        <v>58</v>
      </c>
      <c r="E59" s="33">
        <f t="shared" ref="E59" si="113">plan_id</f>
        <v>1580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15300000</v>
      </c>
    </row>
    <row r="60" spans="1:8" x14ac:dyDescent="0.3">
      <c r="A60" s="33" t="s">
        <v>523</v>
      </c>
      <c r="B60" s="33">
        <f t="shared" si="5"/>
        <v>3</v>
      </c>
      <c r="C60" s="33">
        <f t="shared" si="6"/>
        <v>59</v>
      </c>
      <c r="E60" s="33">
        <f t="shared" ref="E60" si="115">plan_id</f>
        <v>1580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9886700000</v>
      </c>
    </row>
    <row r="61" spans="1:8" x14ac:dyDescent="0.3">
      <c r="A61" s="33" t="s">
        <v>523</v>
      </c>
      <c r="B61" s="33">
        <f t="shared" si="5"/>
        <v>3</v>
      </c>
      <c r="C61" s="33">
        <f t="shared" si="6"/>
        <v>60</v>
      </c>
      <c r="E61" s="33">
        <f t="shared" ref="E61" si="117">plan_id</f>
        <v>1580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-3863400000</v>
      </c>
    </row>
    <row r="62" spans="1:8" x14ac:dyDescent="0.3">
      <c r="A62" s="33" t="s">
        <v>523</v>
      </c>
      <c r="B62" s="33">
        <f t="shared" si="5"/>
        <v>3</v>
      </c>
      <c r="C62" s="33">
        <f t="shared" si="6"/>
        <v>61</v>
      </c>
      <c r="E62" s="33">
        <f t="shared" ref="E62" si="119">plan_id</f>
        <v>1580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523</v>
      </c>
      <c r="B63" s="33">
        <f t="shared" si="5"/>
        <v>3</v>
      </c>
      <c r="C63" s="33">
        <f t="shared" si="6"/>
        <v>62</v>
      </c>
      <c r="E63" s="33">
        <f t="shared" ref="E63" si="121">plan_id</f>
        <v>1580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-3863400000</v>
      </c>
    </row>
    <row r="64" spans="1:8" x14ac:dyDescent="0.3">
      <c r="A64" s="33" t="s">
        <v>523</v>
      </c>
      <c r="B64" s="33">
        <f t="shared" si="5"/>
        <v>3</v>
      </c>
      <c r="C64" s="33">
        <f t="shared" si="6"/>
        <v>63</v>
      </c>
      <c r="E64" s="33">
        <f t="shared" ref="E64" si="123">plan_id</f>
        <v>1580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-31200000</v>
      </c>
    </row>
    <row r="65" spans="1:8" x14ac:dyDescent="0.3">
      <c r="A65" s="33" t="s">
        <v>523</v>
      </c>
      <c r="B65" s="33">
        <f t="shared" si="5"/>
        <v>3</v>
      </c>
      <c r="C65" s="33">
        <f t="shared" si="6"/>
        <v>64</v>
      </c>
      <c r="E65" s="33">
        <f t="shared" ref="E65" si="125">plan_id</f>
        <v>1580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523</v>
      </c>
      <c r="B66" s="33">
        <f t="shared" si="5"/>
        <v>3</v>
      </c>
      <c r="C66" s="33">
        <f t="shared" si="6"/>
        <v>65</v>
      </c>
      <c r="E66" s="33">
        <f t="shared" ref="E66" si="127">plan_id</f>
        <v>1580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523</v>
      </c>
      <c r="B67" s="33">
        <f t="shared" si="5"/>
        <v>3</v>
      </c>
      <c r="C67" s="33">
        <f t="shared" si="6"/>
        <v>66</v>
      </c>
      <c r="E67" s="33">
        <f t="shared" ref="E67" si="129">plan_id</f>
        <v>1580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58478900000</v>
      </c>
    </row>
    <row r="68" spans="1:8" x14ac:dyDescent="0.3">
      <c r="A68" s="33" t="s">
        <v>523</v>
      </c>
      <c r="B68" s="33">
        <f t="shared" si="5"/>
        <v>3</v>
      </c>
      <c r="C68" s="33">
        <f t="shared" si="6"/>
        <v>67</v>
      </c>
      <c r="E68" s="33">
        <f t="shared" ref="E68" si="131">plan_id</f>
        <v>1580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-2266700000</v>
      </c>
    </row>
    <row r="69" spans="1:8" x14ac:dyDescent="0.3">
      <c r="A69" s="33" t="s">
        <v>523</v>
      </c>
      <c r="B69" s="33">
        <v>4</v>
      </c>
      <c r="C69" s="33">
        <v>3</v>
      </c>
      <c r="E69" s="33">
        <f t="shared" ref="E69" si="133">plan_id</f>
        <v>1580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31-Dec-2013</v>
      </c>
    </row>
    <row r="70" spans="1:8" x14ac:dyDescent="0.3">
      <c r="A70" s="33" t="s">
        <v>523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1580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523</v>
      </c>
      <c r="B71" s="33">
        <f t="shared" si="135"/>
        <v>4</v>
      </c>
      <c r="C71" s="33">
        <f t="shared" si="136"/>
        <v>5</v>
      </c>
      <c r="E71" s="33">
        <f t="shared" ref="E71" si="140">plan_id</f>
        <v>1580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523</v>
      </c>
      <c r="B72" s="33">
        <f t="shared" si="135"/>
        <v>4</v>
      </c>
      <c r="C72" s="33">
        <f t="shared" si="136"/>
        <v>6</v>
      </c>
      <c r="E72" s="33">
        <f t="shared" ref="E72" si="142">plan_id</f>
        <v>1580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132506</v>
      </c>
    </row>
    <row r="73" spans="1:8" x14ac:dyDescent="0.3">
      <c r="A73" s="33" t="s">
        <v>523</v>
      </c>
      <c r="B73" s="33">
        <f t="shared" si="135"/>
        <v>4</v>
      </c>
      <c r="C73" s="33">
        <f t="shared" si="136"/>
        <v>7</v>
      </c>
      <c r="E73" s="33">
        <f t="shared" ref="E73" si="144">plan_id</f>
        <v>1580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210977</v>
      </c>
    </row>
    <row r="74" spans="1:8" x14ac:dyDescent="0.3">
      <c r="A74" s="33" t="s">
        <v>523</v>
      </c>
      <c r="B74" s="33">
        <f t="shared" si="135"/>
        <v>4</v>
      </c>
      <c r="C74" s="33">
        <f t="shared" si="136"/>
        <v>8</v>
      </c>
      <c r="E74" s="33">
        <f t="shared" ref="E74" si="146">plan_id</f>
        <v>1580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2399</v>
      </c>
    </row>
    <row r="75" spans="1:8" x14ac:dyDescent="0.3">
      <c r="A75" s="33" t="s">
        <v>523</v>
      </c>
      <c r="B75" s="33">
        <f t="shared" si="135"/>
        <v>4</v>
      </c>
      <c r="C75" s="33">
        <f t="shared" si="136"/>
        <v>9</v>
      </c>
      <c r="E75" s="33">
        <f t="shared" ref="E75" si="148">plan_id</f>
        <v>1580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3" t="s">
        <v>523</v>
      </c>
      <c r="B76" s="33">
        <f t="shared" si="135"/>
        <v>4</v>
      </c>
      <c r="C76" s="33">
        <f t="shared" si="136"/>
        <v>10</v>
      </c>
      <c r="E76" s="33">
        <f t="shared" ref="E76" si="150">plan_id</f>
        <v>1580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345882</v>
      </c>
    </row>
    <row r="77" spans="1:8" x14ac:dyDescent="0.3">
      <c r="A77" s="33" t="s">
        <v>523</v>
      </c>
      <c r="B77" s="33">
        <f t="shared" si="135"/>
        <v>4</v>
      </c>
      <c r="C77" s="33">
        <f t="shared" si="136"/>
        <v>11</v>
      </c>
      <c r="E77" s="33">
        <f t="shared" ref="E77" si="152">plan_id</f>
        <v>1580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33" t="s">
        <v>523</v>
      </c>
      <c r="B78" s="33">
        <f t="shared" si="135"/>
        <v>4</v>
      </c>
      <c r="C78" s="33">
        <f t="shared" si="136"/>
        <v>12</v>
      </c>
      <c r="E78" s="33">
        <f t="shared" ref="E78" si="154">plan_id</f>
        <v>1580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523</v>
      </c>
      <c r="B79" s="33">
        <f t="shared" si="135"/>
        <v>4</v>
      </c>
      <c r="C79" s="33">
        <f t="shared" si="136"/>
        <v>13</v>
      </c>
      <c r="E79" s="33">
        <f t="shared" ref="E79" si="156">plan_id</f>
        <v>1580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523</v>
      </c>
      <c r="B80" s="33">
        <f t="shared" si="135"/>
        <v>4</v>
      </c>
      <c r="C80" s="33">
        <f t="shared" si="136"/>
        <v>14</v>
      </c>
      <c r="E80" s="33">
        <f t="shared" ref="E80" si="158">plan_id</f>
        <v>1580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523</v>
      </c>
      <c r="B81" s="33">
        <f t="shared" si="135"/>
        <v>4</v>
      </c>
      <c r="C81" s="33">
        <f t="shared" si="136"/>
        <v>15</v>
      </c>
      <c r="E81" s="33">
        <f t="shared" ref="E81" si="160">plan_id</f>
        <v>1580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33" t="s">
        <v>523</v>
      </c>
      <c r="B82" s="33">
        <f t="shared" si="135"/>
        <v>4</v>
      </c>
      <c r="C82" s="33">
        <f t="shared" si="136"/>
        <v>16</v>
      </c>
      <c r="E82" s="33">
        <f t="shared" ref="E82" si="162">plan_id</f>
        <v>1580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33" t="s">
        <v>523</v>
      </c>
      <c r="B83" s="33">
        <f t="shared" si="135"/>
        <v>4</v>
      </c>
      <c r="C83" s="33">
        <f t="shared" si="136"/>
        <v>17</v>
      </c>
      <c r="E83" s="33">
        <f t="shared" ref="E83" si="164">plan_id</f>
        <v>1580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70665100000</v>
      </c>
    </row>
    <row r="84" spans="1:8" x14ac:dyDescent="0.3">
      <c r="A84" s="33" t="s">
        <v>523</v>
      </c>
      <c r="B84" s="33">
        <f t="shared" si="135"/>
        <v>4</v>
      </c>
      <c r="C84" s="33">
        <f t="shared" si="136"/>
        <v>18</v>
      </c>
      <c r="E84" s="33">
        <f t="shared" ref="E84" si="166">plan_id</f>
        <v>1580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64923600000</v>
      </c>
    </row>
    <row r="85" spans="1:8" x14ac:dyDescent="0.3">
      <c r="A85" s="33" t="s">
        <v>523</v>
      </c>
      <c r="B85" s="33">
        <f t="shared" si="135"/>
        <v>4</v>
      </c>
      <c r="C85" s="33">
        <f t="shared" si="136"/>
        <v>19</v>
      </c>
      <c r="E85" s="33">
        <f t="shared" ref="E85" si="168">plan_id</f>
        <v>1580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5741500000</v>
      </c>
    </row>
    <row r="86" spans="1:8" x14ac:dyDescent="0.3">
      <c r="A86" s="33" t="s">
        <v>523</v>
      </c>
      <c r="B86" s="33">
        <f t="shared" si="135"/>
        <v>4</v>
      </c>
      <c r="C86" s="33">
        <f t="shared" si="136"/>
        <v>20</v>
      </c>
      <c r="E86" s="33">
        <f t="shared" ref="E86" si="170">plan_id</f>
        <v>1580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0.91900000000000004</v>
      </c>
    </row>
    <row r="87" spans="1:8" x14ac:dyDescent="0.3">
      <c r="A87" s="33" t="s">
        <v>523</v>
      </c>
      <c r="B87" s="33">
        <f t="shared" si="135"/>
        <v>4</v>
      </c>
      <c r="C87" s="33">
        <f t="shared" si="136"/>
        <v>21</v>
      </c>
      <c r="E87" s="33">
        <f t="shared" ref="E87" si="172">plan_id</f>
        <v>1580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9000246000</v>
      </c>
    </row>
    <row r="88" spans="1:8" x14ac:dyDescent="0.3">
      <c r="A88" s="33" t="s">
        <v>523</v>
      </c>
      <c r="B88" s="33">
        <f t="shared" si="135"/>
        <v>4</v>
      </c>
      <c r="C88" s="33">
        <f t="shared" si="136"/>
        <v>22</v>
      </c>
      <c r="E88" s="33">
        <f t="shared" ref="E88" si="174">plan_id</f>
        <v>1580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5651523368</v>
      </c>
    </row>
    <row r="89" spans="1:8" x14ac:dyDescent="0.3">
      <c r="A89" s="33" t="s">
        <v>523</v>
      </c>
      <c r="B89" s="33">
        <f t="shared" si="135"/>
        <v>4</v>
      </c>
      <c r="C89" s="33">
        <f t="shared" si="136"/>
        <v>23</v>
      </c>
      <c r="E89" s="33">
        <f t="shared" ref="E89" si="176">plan_id</f>
        <v>1580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372191523</v>
      </c>
    </row>
    <row r="90" spans="1:8" x14ac:dyDescent="0.3">
      <c r="A90" s="33" t="s">
        <v>523</v>
      </c>
      <c r="B90" s="33">
        <f t="shared" si="135"/>
        <v>4</v>
      </c>
      <c r="C90" s="33">
        <f t="shared" si="136"/>
        <v>24</v>
      </c>
      <c r="E90" s="33">
        <f t="shared" ref="E90" si="178">plan_id</f>
        <v>1580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1266123309</v>
      </c>
    </row>
    <row r="91" spans="1:8" x14ac:dyDescent="0.3">
      <c r="A91" s="33" t="s">
        <v>523</v>
      </c>
      <c r="B91" s="33">
        <f t="shared" si="135"/>
        <v>4</v>
      </c>
      <c r="C91" s="33">
        <f t="shared" si="136"/>
        <v>25</v>
      </c>
      <c r="E91" s="33">
        <f t="shared" ref="E91" si="180">plan_id</f>
        <v>1580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0.10109856997242075</v>
      </c>
    </row>
    <row r="92" spans="1:8" x14ac:dyDescent="0.3">
      <c r="A92" s="33" t="s">
        <v>523</v>
      </c>
      <c r="B92" s="33">
        <f t="shared" si="135"/>
        <v>4</v>
      </c>
      <c r="C92" s="33">
        <f t="shared" si="136"/>
        <v>26</v>
      </c>
      <c r="E92" s="33">
        <f t="shared" ref="E92" si="182">plan_id</f>
        <v>1580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0.10109856997242075</v>
      </c>
    </row>
    <row r="93" spans="1:8" x14ac:dyDescent="0.3">
      <c r="A93" s="33" t="s">
        <v>523</v>
      </c>
      <c r="B93" s="33">
        <f t="shared" si="135"/>
        <v>4</v>
      </c>
      <c r="C93" s="33">
        <f t="shared" si="136"/>
        <v>27</v>
      </c>
      <c r="E93" s="33">
        <f t="shared" ref="E93" si="184">plan_id</f>
        <v>1580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909912000</v>
      </c>
    </row>
    <row r="94" spans="1:8" x14ac:dyDescent="0.3">
      <c r="A94" s="33" t="s">
        <v>523</v>
      </c>
      <c r="B94" s="33">
        <f t="shared" si="135"/>
        <v>4</v>
      </c>
      <c r="C94" s="33">
        <f t="shared" si="136"/>
        <v>28</v>
      </c>
      <c r="E94" s="33">
        <f t="shared" ref="E94" si="186">plan_id</f>
        <v>1580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909912000</v>
      </c>
    </row>
    <row r="95" spans="1:8" x14ac:dyDescent="0.3">
      <c r="A95" s="33" t="s">
        <v>523</v>
      </c>
      <c r="B95" s="33">
        <f t="shared" si="135"/>
        <v>4</v>
      </c>
      <c r="C95" s="33">
        <f t="shared" si="136"/>
        <v>29</v>
      </c>
      <c r="E95" s="33">
        <f t="shared" ref="E95" si="188">plan_id</f>
        <v>1580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3" t="s">
        <v>523</v>
      </c>
      <c r="B96" s="33">
        <f t="shared" si="135"/>
        <v>4</v>
      </c>
      <c r="C96" s="33">
        <f t="shared" si="136"/>
        <v>30</v>
      </c>
      <c r="E96" s="33">
        <f t="shared" ref="E96" si="190">plan_id</f>
        <v>1580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3" t="s">
        <v>523</v>
      </c>
      <c r="B97" s="33">
        <f t="shared" si="135"/>
        <v>4</v>
      </c>
      <c r="C97" s="33">
        <f t="shared" si="136"/>
        <v>31</v>
      </c>
      <c r="E97" s="33">
        <f t="shared" ref="E97" si="192">plan_id</f>
        <v>1580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960900000</v>
      </c>
    </row>
    <row r="98" spans="1:8" x14ac:dyDescent="0.3">
      <c r="A98" s="33" t="s">
        <v>523</v>
      </c>
      <c r="B98" s="33">
        <f t="shared" si="135"/>
        <v>4</v>
      </c>
      <c r="C98" s="33">
        <f t="shared" si="136"/>
        <v>32</v>
      </c>
      <c r="E98" s="33">
        <f t="shared" ref="E98" si="194">plan_id</f>
        <v>1580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4779500000</v>
      </c>
    </row>
    <row r="99" spans="1:8" x14ac:dyDescent="0.3">
      <c r="A99" s="33" t="s">
        <v>523</v>
      </c>
      <c r="B99" s="33">
        <f t="shared" si="135"/>
        <v>4</v>
      </c>
      <c r="C99" s="33">
        <f t="shared" si="136"/>
        <v>33</v>
      </c>
      <c r="E99" s="33">
        <f t="shared" ref="E99" si="196">plan_id</f>
        <v>1580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5353500000</v>
      </c>
    </row>
    <row r="100" spans="1:8" x14ac:dyDescent="0.3">
      <c r="A100" s="33" t="s">
        <v>523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1580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523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1580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523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1580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-13800000</v>
      </c>
    </row>
    <row r="103" spans="1:8" x14ac:dyDescent="0.3">
      <c r="A103" s="33" t="s">
        <v>523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1580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3" t="s">
        <v>523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1580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523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1580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35700000</v>
      </c>
    </row>
    <row r="106" spans="1:8" x14ac:dyDescent="0.3">
      <c r="A106" s="33" t="s">
        <v>523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1580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523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1580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523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1580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523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1580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5651523368</v>
      </c>
    </row>
    <row r="110" spans="1:8" x14ac:dyDescent="0.3">
      <c r="A110" s="33" t="s">
        <v>523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1580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3" t="s">
        <v>523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1580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3" t="s">
        <v>523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1580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3" t="s">
        <v>523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1580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13856800000</v>
      </c>
    </row>
    <row r="114" spans="1:8" x14ac:dyDescent="0.3">
      <c r="A114" s="33" t="s">
        <v>523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1580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5741500000</v>
      </c>
    </row>
    <row r="115" spans="1:8" x14ac:dyDescent="0.3">
      <c r="A115" s="33" t="s">
        <v>523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1580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-1097600000</v>
      </c>
    </row>
    <row r="116" spans="1:8" x14ac:dyDescent="0.3">
      <c r="A116" s="33" t="s">
        <v>523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1580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523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1580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63134800000</v>
      </c>
    </row>
    <row r="118" spans="1:8" x14ac:dyDescent="0.3">
      <c r="A118" s="33" t="s">
        <v>523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1580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960900000</v>
      </c>
    </row>
    <row r="119" spans="1:8" x14ac:dyDescent="0.3">
      <c r="A119" s="33" t="s">
        <v>523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1580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4779500000</v>
      </c>
    </row>
    <row r="120" spans="1:8" x14ac:dyDescent="0.3">
      <c r="A120" s="33" t="s">
        <v>523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1580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5353500000</v>
      </c>
    </row>
    <row r="121" spans="1:8" x14ac:dyDescent="0.3">
      <c r="A121" s="33" t="s">
        <v>523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1580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380000000</v>
      </c>
    </row>
    <row r="122" spans="1:8" x14ac:dyDescent="0.3">
      <c r="A122" s="33" t="s">
        <v>523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1580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523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1580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1123300000</v>
      </c>
    </row>
    <row r="124" spans="1:8" x14ac:dyDescent="0.3">
      <c r="A124" s="33" t="s">
        <v>523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1580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13800000</v>
      </c>
    </row>
    <row r="125" spans="1:8" x14ac:dyDescent="0.3">
      <c r="A125" s="33" t="s">
        <v>523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1580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2364500000</v>
      </c>
    </row>
    <row r="126" spans="1:8" x14ac:dyDescent="0.3">
      <c r="A126" s="33" t="s">
        <v>523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1580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-3927200000</v>
      </c>
    </row>
    <row r="127" spans="1:8" x14ac:dyDescent="0.3">
      <c r="A127" s="33" t="s">
        <v>523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1580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-16500000</v>
      </c>
    </row>
    <row r="128" spans="1:8" x14ac:dyDescent="0.3">
      <c r="A128" s="33" t="s">
        <v>523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1580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-3943700000</v>
      </c>
    </row>
    <row r="129" spans="1:8" x14ac:dyDescent="0.3">
      <c r="A129" s="33" t="s">
        <v>523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1580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-35700000</v>
      </c>
    </row>
    <row r="130" spans="1:8" x14ac:dyDescent="0.3">
      <c r="A130" s="33" t="s">
        <v>523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1580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523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1580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523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1580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65401400000</v>
      </c>
    </row>
    <row r="133" spans="1:8" x14ac:dyDescent="0.3">
      <c r="A133" s="33" t="s">
        <v>523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1580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5741500000</v>
      </c>
    </row>
    <row r="134" spans="1:8" x14ac:dyDescent="0.3">
      <c r="A134" s="33" t="s">
        <v>523</v>
      </c>
      <c r="B134" s="33">
        <f>B69+1</f>
        <v>5</v>
      </c>
      <c r="C134" s="33">
        <f>C69</f>
        <v>3</v>
      </c>
      <c r="E134" s="33">
        <f t="shared" ref="E134" si="266">plan_id</f>
        <v>1580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31-Dec-2014</v>
      </c>
    </row>
    <row r="135" spans="1:8" x14ac:dyDescent="0.3">
      <c r="A135" s="33" t="s">
        <v>523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1580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523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1580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523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1580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136435</v>
      </c>
    </row>
    <row r="138" spans="1:8" x14ac:dyDescent="0.3">
      <c r="A138" s="33" t="s">
        <v>523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1580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215362</v>
      </c>
    </row>
    <row r="139" spans="1:8" x14ac:dyDescent="0.3">
      <c r="A139" s="33" t="s">
        <v>523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1580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2239</v>
      </c>
    </row>
    <row r="140" spans="1:8" x14ac:dyDescent="0.3">
      <c r="A140" s="33" t="s">
        <v>523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1580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33" t="s">
        <v>523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1580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354036</v>
      </c>
    </row>
    <row r="142" spans="1:8" x14ac:dyDescent="0.3">
      <c r="A142" s="33" t="s">
        <v>523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1580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3" t="s">
        <v>523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1580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523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1580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523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1580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523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1580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3" t="s">
        <v>523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1580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3" t="s">
        <v>523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1580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77094400000</v>
      </c>
    </row>
    <row r="149" spans="1:8" x14ac:dyDescent="0.3">
      <c r="A149" s="33" t="s">
        <v>523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1580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62082100000</v>
      </c>
    </row>
    <row r="150" spans="1:8" x14ac:dyDescent="0.3">
      <c r="A150" s="33" t="s">
        <v>523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1580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15012300000</v>
      </c>
    </row>
    <row r="151" spans="1:8" x14ac:dyDescent="0.3">
      <c r="A151" s="33" t="s">
        <v>523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1580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0.80500000000000005</v>
      </c>
    </row>
    <row r="152" spans="1:8" x14ac:dyDescent="0.3">
      <c r="A152" s="33" t="s">
        <v>523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1580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9428440000</v>
      </c>
    </row>
    <row r="153" spans="1:8" x14ac:dyDescent="0.3">
      <c r="A153" s="33" t="s">
        <v>523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1580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2690015452</v>
      </c>
    </row>
    <row r="154" spans="1:8" x14ac:dyDescent="0.3">
      <c r="A154" s="33" t="s">
        <v>523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1580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6938845605</v>
      </c>
    </row>
    <row r="155" spans="1:8" x14ac:dyDescent="0.3">
      <c r="A155" s="33" t="s">
        <v>523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1580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274599936</v>
      </c>
    </row>
    <row r="156" spans="1:8" x14ac:dyDescent="0.3">
      <c r="A156" s="33" t="s">
        <v>523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1580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9.983846744530378E-2</v>
      </c>
    </row>
    <row r="157" spans="1:8" x14ac:dyDescent="0.3">
      <c r="A157" s="33" t="s">
        <v>523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1580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9.983846744530378E-2</v>
      </c>
    </row>
    <row r="158" spans="1:8" x14ac:dyDescent="0.3">
      <c r="A158" s="33" t="s">
        <v>523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1580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941321000</v>
      </c>
    </row>
    <row r="159" spans="1:8" x14ac:dyDescent="0.3">
      <c r="A159" s="33" t="s">
        <v>523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1580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941321000</v>
      </c>
    </row>
    <row r="160" spans="1:8" x14ac:dyDescent="0.3">
      <c r="A160" s="33" t="s">
        <v>523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1580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523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1580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3" t="s">
        <v>523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1580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1016800000</v>
      </c>
    </row>
    <row r="163" spans="1:8" x14ac:dyDescent="0.3">
      <c r="A163" s="33" t="s">
        <v>523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1580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5355300000</v>
      </c>
    </row>
    <row r="164" spans="1:8" x14ac:dyDescent="0.3">
      <c r="A164" s="33" t="s">
        <v>523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1580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523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1580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523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1580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523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1580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-14200000</v>
      </c>
    </row>
    <row r="168" spans="1:8" x14ac:dyDescent="0.3">
      <c r="A168" s="33" t="s">
        <v>523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1580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3" t="s">
        <v>523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1580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523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1580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40500000</v>
      </c>
    </row>
    <row r="171" spans="1:8" x14ac:dyDescent="0.3">
      <c r="A171" s="33" t="s">
        <v>523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1580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523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1580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523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1580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523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1580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2690015452</v>
      </c>
    </row>
    <row r="175" spans="1:8" x14ac:dyDescent="0.3">
      <c r="A175" s="33" t="s">
        <v>523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1580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3" t="s">
        <v>523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1580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3" t="s">
        <v>523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1580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3" t="s">
        <v>523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1580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24239900000</v>
      </c>
    </row>
    <row r="179" spans="1:8" x14ac:dyDescent="0.3">
      <c r="A179" s="33" t="s">
        <v>523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1580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15012300000</v>
      </c>
    </row>
    <row r="180" spans="1:8" x14ac:dyDescent="0.3">
      <c r="A180" s="33" t="s">
        <v>523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1580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7299700000</v>
      </c>
    </row>
    <row r="181" spans="1:8" x14ac:dyDescent="0.3">
      <c r="A181" s="33" t="s">
        <v>523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1580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523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1580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70665100000</v>
      </c>
    </row>
    <row r="183" spans="1:8" x14ac:dyDescent="0.3">
      <c r="A183" s="33" t="s">
        <v>523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1580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1016800000</v>
      </c>
    </row>
    <row r="184" spans="1:8" x14ac:dyDescent="0.3">
      <c r="A184" s="33" t="s">
        <v>523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1580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5355300000</v>
      </c>
    </row>
    <row r="185" spans="1:8" x14ac:dyDescent="0.3">
      <c r="A185" s="33" t="s">
        <v>523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1580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523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1580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317300000</v>
      </c>
    </row>
    <row r="187" spans="1:8" x14ac:dyDescent="0.3">
      <c r="A187" s="33" t="s">
        <v>523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1580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3946400000</v>
      </c>
    </row>
    <row r="188" spans="1:8" x14ac:dyDescent="0.3">
      <c r="A188" s="33" t="s">
        <v>523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1580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977300000</v>
      </c>
    </row>
    <row r="189" spans="1:8" x14ac:dyDescent="0.3">
      <c r="A189" s="33" t="s">
        <v>523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1580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14200000</v>
      </c>
    </row>
    <row r="190" spans="1:8" x14ac:dyDescent="0.3">
      <c r="A190" s="33" t="s">
        <v>523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1580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413900000</v>
      </c>
    </row>
    <row r="191" spans="1:8" x14ac:dyDescent="0.3">
      <c r="A191" s="33" t="s">
        <v>523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1580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-4193300000</v>
      </c>
    </row>
    <row r="192" spans="1:8" x14ac:dyDescent="0.3">
      <c r="A192" s="33" t="s">
        <v>523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1580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-13100000</v>
      </c>
    </row>
    <row r="193" spans="1:8" x14ac:dyDescent="0.3">
      <c r="A193" s="33" t="s">
        <v>523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1580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-4206400000</v>
      </c>
    </row>
    <row r="194" spans="1:8" x14ac:dyDescent="0.3">
      <c r="A194" s="33" t="s">
        <v>523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1580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-40500000</v>
      </c>
    </row>
    <row r="195" spans="1:8" x14ac:dyDescent="0.3">
      <c r="A195" s="33" t="s">
        <v>523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1580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523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1580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523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1580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64923600000</v>
      </c>
    </row>
    <row r="198" spans="1:8" x14ac:dyDescent="0.3">
      <c r="A198" s="33" t="s">
        <v>523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1580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15012300000</v>
      </c>
    </row>
    <row r="199" spans="1:8" x14ac:dyDescent="0.3">
      <c r="A199" s="33" t="s">
        <v>523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1580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31-Dec-2015</v>
      </c>
    </row>
    <row r="200" spans="1:8" x14ac:dyDescent="0.3">
      <c r="A200" s="33" t="s">
        <v>523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1580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523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1580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523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1580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141015</v>
      </c>
    </row>
    <row r="203" spans="1:8" x14ac:dyDescent="0.3">
      <c r="A203" s="33" t="s">
        <v>523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1580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216973</v>
      </c>
    </row>
    <row r="204" spans="1:8" x14ac:dyDescent="0.3">
      <c r="A204" s="33" t="s">
        <v>523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1580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2041</v>
      </c>
    </row>
    <row r="205" spans="1:8" x14ac:dyDescent="0.3">
      <c r="A205" s="33" t="s">
        <v>523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1580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33" t="s">
        <v>523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1580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360029</v>
      </c>
    </row>
    <row r="207" spans="1:8" x14ac:dyDescent="0.3">
      <c r="A207" s="33" t="s">
        <v>523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1580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3" t="s">
        <v>523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1580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523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1580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523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1580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523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1580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3" t="s">
        <v>523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1580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3" t="s">
        <v>523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1580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79851700000</v>
      </c>
    </row>
    <row r="214" spans="1:8" x14ac:dyDescent="0.3">
      <c r="A214" s="33" t="s">
        <v>523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1580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66371700000</v>
      </c>
    </row>
    <row r="215" spans="1:8" x14ac:dyDescent="0.3">
      <c r="A215" s="33" t="s">
        <v>523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1580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13480000000</v>
      </c>
    </row>
    <row r="216" spans="1:8" x14ac:dyDescent="0.3">
      <c r="A216" s="33" t="s">
        <v>523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1580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0.83099999999999996</v>
      </c>
    </row>
    <row r="217" spans="1:8" x14ac:dyDescent="0.3">
      <c r="A217" s="33" t="s">
        <v>523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1580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10037500000</v>
      </c>
    </row>
    <row r="218" spans="1:8" x14ac:dyDescent="0.3">
      <c r="A218" s="33" t="s">
        <v>523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1580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2906216056</v>
      </c>
    </row>
    <row r="219" spans="1:8" x14ac:dyDescent="0.3">
      <c r="A219" s="33" t="s">
        <v>523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1580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3644711689</v>
      </c>
    </row>
    <row r="220" spans="1:8" x14ac:dyDescent="0.3">
      <c r="A220" s="33" t="s">
        <v>523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1580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396764899</v>
      </c>
    </row>
    <row r="221" spans="1:8" x14ac:dyDescent="0.3">
      <c r="A221" s="33" t="s">
        <v>523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1580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9.5666650062266503E-2</v>
      </c>
    </row>
    <row r="222" spans="1:8" x14ac:dyDescent="0.3">
      <c r="A222" s="33" t="s">
        <v>523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1580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9.5666650062266503E-2</v>
      </c>
    </row>
    <row r="223" spans="1:8" x14ac:dyDescent="0.3">
      <c r="A223" s="33" t="s">
        <v>523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1580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960254000</v>
      </c>
    </row>
    <row r="224" spans="1:8" x14ac:dyDescent="0.3">
      <c r="A224" s="33" t="s">
        <v>523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1580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960254000</v>
      </c>
    </row>
    <row r="225" spans="1:8" x14ac:dyDescent="0.3">
      <c r="A225" s="33" t="s">
        <v>523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1580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523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1580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3" t="s">
        <v>523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1580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1105500000</v>
      </c>
    </row>
    <row r="228" spans="1:8" x14ac:dyDescent="0.3">
      <c r="A228" s="33" t="s">
        <v>523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1580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5662200000</v>
      </c>
    </row>
    <row r="229" spans="1:8" x14ac:dyDescent="0.3">
      <c r="A229" s="33" t="s">
        <v>523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1580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523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1580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523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1580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523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1580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-13100000</v>
      </c>
    </row>
    <row r="233" spans="1:8" x14ac:dyDescent="0.3">
      <c r="A233" s="33" t="s">
        <v>523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1580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3" t="s">
        <v>523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1580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3" t="s">
        <v>523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1580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43500000</v>
      </c>
    </row>
    <row r="236" spans="1:8" x14ac:dyDescent="0.3">
      <c r="A236" s="33" t="s">
        <v>523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1580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523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1580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523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1580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523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1580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2906216056</v>
      </c>
    </row>
    <row r="240" spans="1:8" x14ac:dyDescent="0.3">
      <c r="A240" s="33" t="s">
        <v>523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1580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3" t="s">
        <v>523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1580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3" t="s">
        <v>523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1580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3" t="s">
        <v>523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1580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22972400000</v>
      </c>
    </row>
    <row r="244" spans="1:8" x14ac:dyDescent="0.3">
      <c r="A244" s="33" t="s">
        <v>523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1580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13480000000</v>
      </c>
    </row>
    <row r="245" spans="1:8" x14ac:dyDescent="0.3">
      <c r="A245" s="33" t="s">
        <v>523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1580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5542600000</v>
      </c>
    </row>
    <row r="246" spans="1:8" x14ac:dyDescent="0.3">
      <c r="A246" s="33" t="s">
        <v>523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1580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3" t="s">
        <v>523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1580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77094400000</v>
      </c>
    </row>
    <row r="248" spans="1:8" x14ac:dyDescent="0.3">
      <c r="A248" s="33" t="s">
        <v>523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1580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1105500000</v>
      </c>
    </row>
    <row r="249" spans="1:8" x14ac:dyDescent="0.3">
      <c r="A249" s="33" t="s">
        <v>523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1580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5662200000</v>
      </c>
    </row>
    <row r="250" spans="1:8" x14ac:dyDescent="0.3">
      <c r="A250" s="33" t="s">
        <v>523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1580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523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1580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351800000</v>
      </c>
    </row>
    <row r="252" spans="1:8" x14ac:dyDescent="0.3">
      <c r="A252" s="33" t="s">
        <v>523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1580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523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1580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1022200000</v>
      </c>
    </row>
    <row r="254" spans="1:8" x14ac:dyDescent="0.3">
      <c r="A254" s="33" t="s">
        <v>523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1580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13100000</v>
      </c>
    </row>
    <row r="255" spans="1:8" x14ac:dyDescent="0.3">
      <c r="A255" s="33" t="s">
        <v>523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1580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7660000000</v>
      </c>
    </row>
    <row r="256" spans="1:8" x14ac:dyDescent="0.3">
      <c r="A256" s="33" t="s">
        <v>523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1580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-4362200000</v>
      </c>
    </row>
    <row r="257" spans="1:8" x14ac:dyDescent="0.3">
      <c r="A257" s="33" t="s">
        <v>523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1580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523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1580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-4362200000</v>
      </c>
    </row>
    <row r="259" spans="1:8" x14ac:dyDescent="0.3">
      <c r="A259" s="33" t="s">
        <v>523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1580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-43500000</v>
      </c>
    </row>
    <row r="260" spans="1:8" x14ac:dyDescent="0.3">
      <c r="A260" s="33" t="s">
        <v>523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1580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523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1580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523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1580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62082100000</v>
      </c>
    </row>
    <row r="263" spans="1:8" x14ac:dyDescent="0.3">
      <c r="A263" s="33" t="s">
        <v>523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1580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13480000000</v>
      </c>
    </row>
    <row r="264" spans="1:8" x14ac:dyDescent="0.3">
      <c r="A264" s="33" t="s">
        <v>523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1580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31-Dec-2016</v>
      </c>
    </row>
    <row r="265" spans="1:8" x14ac:dyDescent="0.3">
      <c r="A265" s="33" t="s">
        <v>523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1580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523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1580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523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1580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145863</v>
      </c>
    </row>
    <row r="268" spans="1:8" x14ac:dyDescent="0.3">
      <c r="A268" s="33" t="s">
        <v>523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1580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220180</v>
      </c>
    </row>
    <row r="269" spans="1:8" x14ac:dyDescent="0.3">
      <c r="A269" s="33" t="s">
        <v>523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1580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1810</v>
      </c>
    </row>
    <row r="270" spans="1:8" x14ac:dyDescent="0.3">
      <c r="A270" s="33" t="s">
        <v>523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1580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</row>
    <row r="271" spans="1:8" x14ac:dyDescent="0.3">
      <c r="A271" s="33" t="s">
        <v>523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1580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367853</v>
      </c>
    </row>
    <row r="272" spans="1:8" x14ac:dyDescent="0.3">
      <c r="A272" s="33" t="s">
        <v>523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1580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">
      <c r="A273" s="33" t="s">
        <v>523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1580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523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1580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523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1580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523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1580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3" t="s">
        <v>523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1580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33" t="s">
        <v>523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1580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84476100000</v>
      </c>
    </row>
    <row r="279" spans="1:8" x14ac:dyDescent="0.3">
      <c r="A279" s="33" t="s">
        <v>523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1580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69327500000</v>
      </c>
    </row>
    <row r="280" spans="1:8" x14ac:dyDescent="0.3">
      <c r="A280" s="33" t="s">
        <v>523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1580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15148600000</v>
      </c>
    </row>
    <row r="281" spans="1:8" x14ac:dyDescent="0.3">
      <c r="A281" s="33" t="s">
        <v>523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1580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0.82099999999999995</v>
      </c>
    </row>
    <row r="282" spans="1:8" x14ac:dyDescent="0.3">
      <c r="A282" s="33" t="s">
        <v>523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1580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10044000000</v>
      </c>
    </row>
    <row r="283" spans="1:8" x14ac:dyDescent="0.3">
      <c r="A283" s="33" t="s">
        <v>523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1580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2942037584</v>
      </c>
    </row>
    <row r="284" spans="1:8" x14ac:dyDescent="0.3">
      <c r="A284" s="33" t="s">
        <v>523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1580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4496312546</v>
      </c>
    </row>
    <row r="285" spans="1:8" x14ac:dyDescent="0.3">
      <c r="A285" s="33" t="s">
        <v>523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1580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1131646793</v>
      </c>
    </row>
    <row r="286" spans="1:8" x14ac:dyDescent="0.3">
      <c r="A286" s="33" t="s">
        <v>523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1580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0.13128952608522501</v>
      </c>
    </row>
    <row r="287" spans="1:8" x14ac:dyDescent="0.3">
      <c r="A287" s="33" t="s">
        <v>523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1580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0.13128952608522501</v>
      </c>
    </row>
    <row r="288" spans="1:8" x14ac:dyDescent="0.3">
      <c r="A288" s="33" t="s">
        <v>523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1580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1318672000</v>
      </c>
    </row>
    <row r="289" spans="1:8" x14ac:dyDescent="0.3">
      <c r="A289" s="33" t="s">
        <v>523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1580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1318672000</v>
      </c>
    </row>
    <row r="290" spans="1:8" x14ac:dyDescent="0.3">
      <c r="A290" s="33" t="s">
        <v>523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1580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3" t="s">
        <v>523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1580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3" t="s">
        <v>523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1580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1108200000</v>
      </c>
    </row>
    <row r="293" spans="1:8" x14ac:dyDescent="0.3">
      <c r="A293" s="33" t="s">
        <v>523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1580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5858200000</v>
      </c>
    </row>
    <row r="294" spans="1:8" x14ac:dyDescent="0.3">
      <c r="A294" s="33" t="s">
        <v>523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1580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523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1580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3" t="s">
        <v>523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1580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3" t="s">
        <v>523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1580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-12600000</v>
      </c>
    </row>
    <row r="298" spans="1:8" x14ac:dyDescent="0.3">
      <c r="A298" s="33" t="s">
        <v>523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1580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3" t="s">
        <v>523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1580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3" t="s">
        <v>523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1580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37800000</v>
      </c>
    </row>
    <row r="301" spans="1:8" x14ac:dyDescent="0.3">
      <c r="A301" s="33" t="s">
        <v>523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1580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523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1580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523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1580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523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1580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2942037584</v>
      </c>
    </row>
    <row r="305" spans="1:8" x14ac:dyDescent="0.3">
      <c r="A305" s="33" t="s">
        <v>523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1580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33" t="s">
        <v>523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1580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33" t="s">
        <v>523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1580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33" t="s">
        <v>523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1580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25316300000</v>
      </c>
    </row>
    <row r="309" spans="1:8" x14ac:dyDescent="0.3">
      <c r="A309" s="33" t="s">
        <v>523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1580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15148600000</v>
      </c>
    </row>
    <row r="310" spans="1:8" x14ac:dyDescent="0.3">
      <c r="A310" s="33" t="s">
        <v>523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1580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6756100000</v>
      </c>
    </row>
    <row r="311" spans="1:8" x14ac:dyDescent="0.3">
      <c r="A311" s="33" t="s">
        <v>523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1580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3" t="s">
        <v>523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1580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79851700000</v>
      </c>
    </row>
    <row r="313" spans="1:8" x14ac:dyDescent="0.3">
      <c r="A313" s="33" t="s">
        <v>523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1580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1108200000</v>
      </c>
    </row>
    <row r="314" spans="1:8" x14ac:dyDescent="0.3">
      <c r="A314" s="33" t="s">
        <v>523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1580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5858200000</v>
      </c>
    </row>
    <row r="315" spans="1:8" x14ac:dyDescent="0.3">
      <c r="A315" s="33" t="s">
        <v>523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1580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523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1580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74300000</v>
      </c>
    </row>
    <row r="317" spans="1:8" x14ac:dyDescent="0.3">
      <c r="A317" s="33" t="s">
        <v>523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1580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2240300000</v>
      </c>
    </row>
    <row r="318" spans="1:8" x14ac:dyDescent="0.3">
      <c r="A318" s="33" t="s">
        <v>523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1580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1390100000</v>
      </c>
    </row>
    <row r="319" spans="1:8" x14ac:dyDescent="0.3">
      <c r="A319" s="33" t="s">
        <v>523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1580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12600000</v>
      </c>
    </row>
    <row r="320" spans="1:8" x14ac:dyDescent="0.3">
      <c r="A320" s="33" t="s">
        <v>523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1580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6247500000</v>
      </c>
    </row>
    <row r="321" spans="1:8" x14ac:dyDescent="0.3">
      <c r="A321" s="33" t="s">
        <v>523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1580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-4642700000</v>
      </c>
    </row>
    <row r="322" spans="1:8" x14ac:dyDescent="0.3">
      <c r="A322" s="33" t="s">
        <v>523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1580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-13900000</v>
      </c>
    </row>
    <row r="323" spans="1:8" x14ac:dyDescent="0.3">
      <c r="A323" s="33" t="s">
        <v>523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1580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-4656600000</v>
      </c>
    </row>
    <row r="324" spans="1:8" x14ac:dyDescent="0.3">
      <c r="A324" s="33" t="s">
        <v>523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1580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-37800000</v>
      </c>
    </row>
    <row r="325" spans="1:8" x14ac:dyDescent="0.3">
      <c r="A325" s="33" t="s">
        <v>523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1580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523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1580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523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1580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66371700000</v>
      </c>
    </row>
    <row r="328" spans="1:8" x14ac:dyDescent="0.3">
      <c r="A328" s="33" t="s">
        <v>523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1580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15148600000</v>
      </c>
    </row>
    <row r="329" spans="1:8" x14ac:dyDescent="0.3">
      <c r="A329" s="33" t="s">
        <v>523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1580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31-Dec-2017</v>
      </c>
    </row>
    <row r="330" spans="1:8" x14ac:dyDescent="0.3">
      <c r="A330" s="33" t="s">
        <v>523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1580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523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1580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523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1580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149386</v>
      </c>
    </row>
    <row r="333" spans="1:8" x14ac:dyDescent="0.3">
      <c r="A333" s="33" t="s">
        <v>523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1580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223445</v>
      </c>
    </row>
    <row r="334" spans="1:8" x14ac:dyDescent="0.3">
      <c r="A334" s="33" t="s">
        <v>523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1580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1668</v>
      </c>
    </row>
    <row r="335" spans="1:8" x14ac:dyDescent="0.3">
      <c r="A335" s="33" t="s">
        <v>523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1580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33" t="s">
        <v>523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1580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374499</v>
      </c>
    </row>
    <row r="337" spans="1:8" x14ac:dyDescent="0.3">
      <c r="A337" s="33" t="s">
        <v>523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1580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">
      <c r="A338" s="33" t="s">
        <v>523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1580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523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1580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523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1580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523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1580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33" t="s">
        <v>523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1580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">
      <c r="A343" s="33" t="s">
        <v>523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1580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87501200000</v>
      </c>
    </row>
    <row r="344" spans="1:8" x14ac:dyDescent="0.3">
      <c r="A344" s="33" t="s">
        <v>523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1580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70203700000</v>
      </c>
    </row>
    <row r="345" spans="1:8" x14ac:dyDescent="0.3">
      <c r="A345" s="33" t="s">
        <v>523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1580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17297500000</v>
      </c>
    </row>
    <row r="346" spans="1:8" x14ac:dyDescent="0.3">
      <c r="A346" s="33" t="s">
        <v>523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1580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0.80200000000000005</v>
      </c>
    </row>
    <row r="347" spans="1:8" x14ac:dyDescent="0.3">
      <c r="A347" s="33" t="s">
        <v>523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1580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10716700000</v>
      </c>
    </row>
    <row r="348" spans="1:8" x14ac:dyDescent="0.3">
      <c r="A348" s="33" t="s">
        <v>523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1580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4423611518</v>
      </c>
    </row>
    <row r="349" spans="1:8" x14ac:dyDescent="0.3">
      <c r="A349" s="33" t="s">
        <v>523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1580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3941702859</v>
      </c>
    </row>
    <row r="350" spans="1:8" x14ac:dyDescent="0.3">
      <c r="A350" s="33" t="s">
        <v>523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1580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1131542968</v>
      </c>
    </row>
    <row r="351" spans="1:8" x14ac:dyDescent="0.3">
      <c r="A351" s="33" t="s">
        <v>523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1580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0.13166049250235615</v>
      </c>
    </row>
    <row r="352" spans="1:8" x14ac:dyDescent="0.3">
      <c r="A352" s="33" t="s">
        <v>523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1580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0.13166049250235615</v>
      </c>
    </row>
    <row r="353" spans="1:8" x14ac:dyDescent="0.3">
      <c r="A353" s="33" t="s">
        <v>523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1580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1410966000</v>
      </c>
    </row>
    <row r="354" spans="1:8" x14ac:dyDescent="0.3">
      <c r="A354" s="33" t="s">
        <v>523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1580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1410966000</v>
      </c>
    </row>
    <row r="355" spans="1:8" x14ac:dyDescent="0.3">
      <c r="A355" s="33" t="s">
        <v>523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1580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3" t="s">
        <v>523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1580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3" t="s">
        <v>523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1580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1146400000</v>
      </c>
    </row>
    <row r="358" spans="1:8" x14ac:dyDescent="0.3">
      <c r="A358" s="33" t="s">
        <v>523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1580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5952100000</v>
      </c>
    </row>
    <row r="359" spans="1:8" x14ac:dyDescent="0.3">
      <c r="A359" s="33" t="s">
        <v>523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1580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523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1580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3" t="s">
        <v>523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1580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523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1580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-11400000</v>
      </c>
    </row>
    <row r="363" spans="1:8" x14ac:dyDescent="0.3">
      <c r="A363" s="33" t="s">
        <v>523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1580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3" t="s">
        <v>523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1580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3" t="s">
        <v>523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1580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38400000</v>
      </c>
    </row>
    <row r="366" spans="1:8" x14ac:dyDescent="0.3">
      <c r="A366" s="33" t="s">
        <v>523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1580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523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1580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523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1580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523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1580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4423711518</v>
      </c>
    </row>
    <row r="370" spans="1:8" x14ac:dyDescent="0.3">
      <c r="A370" s="33" t="s">
        <v>523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1580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">
      <c r="A371" s="33" t="s">
        <v>523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1580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">
      <c r="A372" s="33" t="s">
        <v>523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1580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">
      <c r="A373" s="33" t="s">
        <v>523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1580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27700600000</v>
      </c>
    </row>
    <row r="374" spans="1:8" x14ac:dyDescent="0.3">
      <c r="A374" s="33" t="s">
        <v>523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1580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17297500000</v>
      </c>
    </row>
    <row r="375" spans="1:8" x14ac:dyDescent="0.3">
      <c r="A375" s="33" t="s">
        <v>523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1580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8591700000</v>
      </c>
    </row>
    <row r="376" spans="1:8" x14ac:dyDescent="0.3">
      <c r="A376" s="33" t="s">
        <v>523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1580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3" t="s">
        <v>523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1580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84476100000</v>
      </c>
    </row>
    <row r="378" spans="1:8" x14ac:dyDescent="0.3">
      <c r="A378" s="33" t="s">
        <v>523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1580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1146400000</v>
      </c>
    </row>
    <row r="379" spans="1:8" x14ac:dyDescent="0.3">
      <c r="A379" s="33" t="s">
        <v>523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1580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5952100000</v>
      </c>
    </row>
    <row r="380" spans="1:8" x14ac:dyDescent="0.3">
      <c r="A380" s="33" t="s">
        <v>523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1580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523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1580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804200000</v>
      </c>
    </row>
    <row r="382" spans="1:8" x14ac:dyDescent="0.3">
      <c r="A382" s="33" t="s">
        <v>523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1580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523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1580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1720200000</v>
      </c>
    </row>
    <row r="384" spans="1:8" x14ac:dyDescent="0.3">
      <c r="A384" s="33" t="s">
        <v>523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1580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11400000</v>
      </c>
    </row>
    <row r="385" spans="1:8" x14ac:dyDescent="0.3">
      <c r="A385" s="33" t="s">
        <v>523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1580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4010000000</v>
      </c>
    </row>
    <row r="386" spans="1:8" x14ac:dyDescent="0.3">
      <c r="A386" s="33" t="s">
        <v>523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1580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-4815100000</v>
      </c>
    </row>
    <row r="387" spans="1:8" x14ac:dyDescent="0.3">
      <c r="A387" s="33" t="s">
        <v>523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1580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-11900000</v>
      </c>
    </row>
    <row r="388" spans="1:8" x14ac:dyDescent="0.3">
      <c r="A388" s="33" t="s">
        <v>523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1580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-4827000000</v>
      </c>
    </row>
    <row r="389" spans="1:8" x14ac:dyDescent="0.3">
      <c r="A389" s="33" t="s">
        <v>523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1580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-38400000</v>
      </c>
    </row>
    <row r="390" spans="1:8" x14ac:dyDescent="0.3">
      <c r="A390" s="33" t="s">
        <v>523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1580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-50600000</v>
      </c>
    </row>
    <row r="391" spans="1:8" x14ac:dyDescent="0.3">
      <c r="A391" s="33" t="s">
        <v>523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1580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523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1580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69327500000</v>
      </c>
    </row>
    <row r="393" spans="1:8" x14ac:dyDescent="0.3">
      <c r="A393" s="33" t="s">
        <v>523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1580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17297500000</v>
      </c>
    </row>
    <row r="394" spans="1:8" x14ac:dyDescent="0.3">
      <c r="A394" s="33" t="s">
        <v>523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1580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31-Dec-2018</v>
      </c>
    </row>
    <row r="395" spans="1:8" x14ac:dyDescent="0.3">
      <c r="A395" s="33" t="s">
        <v>523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1580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523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1580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523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1580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153622</v>
      </c>
    </row>
    <row r="398" spans="1:8" x14ac:dyDescent="0.3">
      <c r="A398" s="33" t="s">
        <v>523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1580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223875</v>
      </c>
    </row>
    <row r="399" spans="1:8" x14ac:dyDescent="0.3">
      <c r="A399" s="33" t="s">
        <v>523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1580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1332</v>
      </c>
    </row>
    <row r="400" spans="1:8" x14ac:dyDescent="0.3">
      <c r="A400" s="33" t="s">
        <v>523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1580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33" t="s">
        <v>523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1580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378829</v>
      </c>
    </row>
    <row r="402" spans="1:8" x14ac:dyDescent="0.3">
      <c r="A402" s="33" t="s">
        <v>523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1580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">
      <c r="A403" s="33" t="s">
        <v>523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1580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523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1580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523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1580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523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1580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">
      <c r="A407" s="33" t="s">
        <v>523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1580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">
      <c r="A408" s="33" t="s">
        <v>523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1580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90142700000</v>
      </c>
    </row>
    <row r="409" spans="1:8" x14ac:dyDescent="0.3">
      <c r="A409" s="33" t="s">
        <v>523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1580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68319300000</v>
      </c>
    </row>
    <row r="410" spans="1:8" x14ac:dyDescent="0.3">
      <c r="A410" s="33" t="s">
        <v>523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1580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21823400000</v>
      </c>
    </row>
    <row r="411" spans="1:8" x14ac:dyDescent="0.3">
      <c r="A411" s="33" t="s">
        <v>523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1580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0.75800000000000001</v>
      </c>
    </row>
    <row r="412" spans="1:8" x14ac:dyDescent="0.3">
      <c r="A412" s="33" t="s">
        <v>523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1580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11574800000</v>
      </c>
    </row>
    <row r="413" spans="1:8" x14ac:dyDescent="0.3">
      <c r="A413" s="33" t="s">
        <v>523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1580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4978193411</v>
      </c>
    </row>
    <row r="414" spans="1:8" x14ac:dyDescent="0.3">
      <c r="A414" s="33" t="s">
        <v>523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1580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4697843321</v>
      </c>
    </row>
    <row r="415" spans="1:8" x14ac:dyDescent="0.3">
      <c r="A415" s="33" t="s">
        <v>523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1580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41036247</v>
      </c>
    </row>
    <row r="416" spans="1:8" x14ac:dyDescent="0.3">
      <c r="A416" s="33" t="s">
        <v>523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1580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0.17122913570860834</v>
      </c>
    </row>
    <row r="417" spans="1:8" x14ac:dyDescent="0.3">
      <c r="A417" s="33" t="s">
        <v>523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1580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0.17122913570860834</v>
      </c>
    </row>
    <row r="418" spans="1:8" x14ac:dyDescent="0.3">
      <c r="A418" s="33" t="s">
        <v>523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1580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1981943000</v>
      </c>
    </row>
    <row r="419" spans="1:8" x14ac:dyDescent="0.3">
      <c r="A419" s="33" t="s">
        <v>523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1580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1981943000</v>
      </c>
    </row>
    <row r="420" spans="1:8" x14ac:dyDescent="0.3">
      <c r="A420" s="33" t="s">
        <v>523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1580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3" t="s">
        <v>523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1580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3" t="s">
        <v>523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1580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1187200150</v>
      </c>
    </row>
    <row r="423" spans="1:8" x14ac:dyDescent="0.3">
      <c r="A423" s="33" t="s">
        <v>523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1580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6162928445</v>
      </c>
    </row>
    <row r="424" spans="1:8" x14ac:dyDescent="0.3">
      <c r="A424" s="33" t="s">
        <v>523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1580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523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1580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400064747</v>
      </c>
    </row>
    <row r="426" spans="1:8" x14ac:dyDescent="0.3">
      <c r="A426" s="33" t="s">
        <v>523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1580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1165879183</v>
      </c>
    </row>
    <row r="427" spans="1:8" x14ac:dyDescent="0.3">
      <c r="A427" s="33" t="s">
        <v>523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1580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-10179238</v>
      </c>
    </row>
    <row r="428" spans="1:8" x14ac:dyDescent="0.3">
      <c r="A428" s="33" t="s">
        <v>523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1580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-4955347935</v>
      </c>
    </row>
    <row r="429" spans="1:8" x14ac:dyDescent="0.3">
      <c r="A429" s="33" t="s">
        <v>523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1580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975564688</v>
      </c>
    </row>
    <row r="430" spans="1:8" x14ac:dyDescent="0.3">
      <c r="A430" s="33" t="s">
        <v>523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1580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52083371</v>
      </c>
    </row>
    <row r="431" spans="1:8" x14ac:dyDescent="0.3">
      <c r="A431" s="33" t="s">
        <v>523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1580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523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1580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523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1580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523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1580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4978193411</v>
      </c>
    </row>
    <row r="435" spans="1:8" x14ac:dyDescent="0.3">
      <c r="A435" s="33" t="s">
        <v>523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1580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">
      <c r="A436" s="33" t="s">
        <v>523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1580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">
      <c r="A437" s="33" t="s">
        <v>523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1580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">
      <c r="A438" s="33" t="s">
        <v>523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1580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32406000000</v>
      </c>
    </row>
    <row r="439" spans="1:8" x14ac:dyDescent="0.3">
      <c r="A439" s="33" t="s">
        <v>523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1580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21823400000</v>
      </c>
    </row>
    <row r="440" spans="1:8" x14ac:dyDescent="0.3">
      <c r="A440" s="33" t="s">
        <v>523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1580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12949500000</v>
      </c>
    </row>
    <row r="441" spans="1:8" x14ac:dyDescent="0.3">
      <c r="A441" s="33" t="s">
        <v>523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1580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523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1580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87501200000</v>
      </c>
    </row>
    <row r="443" spans="1:8" x14ac:dyDescent="0.3">
      <c r="A443" s="33" t="s">
        <v>523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1580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1187200000</v>
      </c>
    </row>
    <row r="444" spans="1:8" x14ac:dyDescent="0.3">
      <c r="A444" s="33" t="s">
        <v>523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1580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6162900000</v>
      </c>
    </row>
    <row r="445" spans="1:8" x14ac:dyDescent="0.3">
      <c r="A445" s="33" t="s">
        <v>523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1580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523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1580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406700000</v>
      </c>
    </row>
    <row r="447" spans="1:8" x14ac:dyDescent="0.3">
      <c r="A447" s="33" t="s">
        <v>523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1580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-50500000</v>
      </c>
    </row>
    <row r="448" spans="1:8" x14ac:dyDescent="0.3">
      <c r="A448" s="33" t="s">
        <v>523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1580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2299000000</v>
      </c>
    </row>
    <row r="449" spans="1:8" x14ac:dyDescent="0.3">
      <c r="A449" s="33" t="s">
        <v>523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1580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10200000</v>
      </c>
    </row>
    <row r="450" spans="1:8" x14ac:dyDescent="0.3">
      <c r="A450" s="33" t="s">
        <v>523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1580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923300000</v>
      </c>
    </row>
    <row r="451" spans="1:8" x14ac:dyDescent="0.3">
      <c r="A451" s="33" t="s">
        <v>523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1580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-5064800000</v>
      </c>
    </row>
    <row r="452" spans="1:8" x14ac:dyDescent="0.3">
      <c r="A452" s="33" t="s">
        <v>523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1580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523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1580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-5064800000</v>
      </c>
    </row>
    <row r="454" spans="1:8" x14ac:dyDescent="0.3">
      <c r="A454" s="33" t="s">
        <v>523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1580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-52100000</v>
      </c>
    </row>
    <row r="455" spans="1:8" x14ac:dyDescent="0.3">
      <c r="A455" s="33" t="s">
        <v>523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1580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523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1580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523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1580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70203700000</v>
      </c>
    </row>
    <row r="458" spans="1:8" x14ac:dyDescent="0.3">
      <c r="A458" s="33" t="s">
        <v>523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1580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21823400000</v>
      </c>
    </row>
    <row r="459" spans="1:8" x14ac:dyDescent="0.3">
      <c r="A459" s="33" t="s">
        <v>523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1580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31-Dec-2019</v>
      </c>
    </row>
    <row r="460" spans="1:8" x14ac:dyDescent="0.3">
      <c r="A460" s="33" t="s">
        <v>523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1580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523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1580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523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1580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156500</v>
      </c>
    </row>
    <row r="463" spans="1:8" x14ac:dyDescent="0.3">
      <c r="A463" s="33" t="s">
        <v>523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1580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227476</v>
      </c>
    </row>
    <row r="464" spans="1:8" x14ac:dyDescent="0.3">
      <c r="A464" s="33" t="s">
        <v>523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1580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1006</v>
      </c>
    </row>
    <row r="465" spans="1:8" x14ac:dyDescent="0.3">
      <c r="A465" s="33" t="s">
        <v>523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1580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3" t="s">
        <v>523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1580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384982</v>
      </c>
    </row>
    <row r="467" spans="1:8" x14ac:dyDescent="0.3">
      <c r="A467" s="33" t="s">
        <v>523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1580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3" t="s">
        <v>523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1580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523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1580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523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1580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523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1580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7.1999999999999995E-2</v>
      </c>
    </row>
    <row r="472" spans="1:8" x14ac:dyDescent="0.3">
      <c r="A472" s="33" t="s">
        <v>523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1580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3" t="s">
        <v>523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1580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96297800000</v>
      </c>
    </row>
    <row r="474" spans="1:8" x14ac:dyDescent="0.3">
      <c r="A474" s="33" t="s">
        <v>523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1580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84331300000</v>
      </c>
    </row>
    <row r="475" spans="1:8" x14ac:dyDescent="0.3">
      <c r="A475" s="33" t="s">
        <v>523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1580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11966500000</v>
      </c>
    </row>
    <row r="476" spans="1:8" x14ac:dyDescent="0.3">
      <c r="A476" s="33" t="s">
        <v>523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1580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0.876</v>
      </c>
    </row>
    <row r="477" spans="1:8" x14ac:dyDescent="0.3">
      <c r="A477" s="33" t="s">
        <v>523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1580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12235500000</v>
      </c>
    </row>
    <row r="478" spans="1:8" x14ac:dyDescent="0.3">
      <c r="A478" s="33" t="s">
        <v>523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1580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1735772622</v>
      </c>
    </row>
    <row r="479" spans="1:8" x14ac:dyDescent="0.3">
      <c r="A479" s="33" t="s">
        <v>523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1580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4115710942</v>
      </c>
    </row>
    <row r="480" spans="1:8" x14ac:dyDescent="0.3">
      <c r="A480" s="33" t="s">
        <v>523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1580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-8890185260</v>
      </c>
    </row>
    <row r="481" spans="1:8" x14ac:dyDescent="0.3">
      <c r="A481" s="33" t="s">
        <v>523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1580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0.16823856810101753</v>
      </c>
    </row>
    <row r="482" spans="1:8" x14ac:dyDescent="0.3">
      <c r="A482" s="33" t="s">
        <v>523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1580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0.16823856810101753</v>
      </c>
    </row>
    <row r="483" spans="1:8" x14ac:dyDescent="0.3">
      <c r="A483" s="33" t="s">
        <v>523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1580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2058483000</v>
      </c>
    </row>
    <row r="484" spans="1:8" x14ac:dyDescent="0.3">
      <c r="A484" s="33" t="s">
        <v>523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1580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2058483000</v>
      </c>
    </row>
    <row r="485" spans="1:8" x14ac:dyDescent="0.3">
      <c r="A485" s="33" t="s">
        <v>523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1580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523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1580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3" t="s">
        <v>523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1580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1263516619</v>
      </c>
    </row>
    <row r="488" spans="1:8" x14ac:dyDescent="0.3">
      <c r="A488" s="33" t="s">
        <v>523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1580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6349290684</v>
      </c>
    </row>
    <row r="489" spans="1:8" x14ac:dyDescent="0.3">
      <c r="A489" s="33" t="s">
        <v>523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1580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148488939</v>
      </c>
    </row>
    <row r="490" spans="1:8" x14ac:dyDescent="0.3">
      <c r="A490" s="33" t="s">
        <v>523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1580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441296872</v>
      </c>
    </row>
    <row r="491" spans="1:8" x14ac:dyDescent="0.3">
      <c r="A491" s="33" t="s">
        <v>523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1580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1207974794</v>
      </c>
    </row>
    <row r="492" spans="1:8" x14ac:dyDescent="0.3">
      <c r="A492" s="33" t="s">
        <v>523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1580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-160309347</v>
      </c>
    </row>
    <row r="493" spans="1:8" x14ac:dyDescent="0.3">
      <c r="A493" s="33" t="s">
        <v>523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1580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-4813347624</v>
      </c>
    </row>
    <row r="494" spans="1:8" x14ac:dyDescent="0.3">
      <c r="A494" s="33" t="s">
        <v>523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1580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-2760222715</v>
      </c>
    </row>
    <row r="495" spans="1:8" x14ac:dyDescent="0.3">
      <c r="A495" s="33" t="s">
        <v>523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1580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59084400</v>
      </c>
    </row>
    <row r="496" spans="1:8" x14ac:dyDescent="0.3">
      <c r="A496" s="33" t="s">
        <v>523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1580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523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1580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523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1580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523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1580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1735772622</v>
      </c>
    </row>
    <row r="500" spans="1:8" x14ac:dyDescent="0.3">
      <c r="A500" s="33" t="s">
        <v>523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1580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3" t="s">
        <v>523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1580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3" t="s">
        <v>523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1580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3" t="s">
        <v>523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1580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23499300000</v>
      </c>
    </row>
    <row r="504" spans="1:8" x14ac:dyDescent="0.3">
      <c r="A504" s="33" t="s">
        <v>523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1580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11966500000</v>
      </c>
    </row>
    <row r="505" spans="1:8" x14ac:dyDescent="0.3">
      <c r="A505" s="33" t="s">
        <v>523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1580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2317700000</v>
      </c>
    </row>
    <row r="506" spans="1:8" x14ac:dyDescent="0.3">
      <c r="A506" s="33" t="s">
        <v>523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1580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523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1580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90142700000</v>
      </c>
    </row>
    <row r="508" spans="1:8" x14ac:dyDescent="0.3">
      <c r="A508" s="33" t="s">
        <v>523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1580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1263500000</v>
      </c>
    </row>
    <row r="509" spans="1:8" x14ac:dyDescent="0.3">
      <c r="A509" s="33" t="s">
        <v>523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1580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6349300000</v>
      </c>
    </row>
    <row r="510" spans="1:8" x14ac:dyDescent="0.3">
      <c r="A510" s="33" t="s">
        <v>523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1580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523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1580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600900000</v>
      </c>
    </row>
    <row r="512" spans="1:8" x14ac:dyDescent="0.3">
      <c r="A512" s="33" t="s">
        <v>523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1580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3041900000</v>
      </c>
    </row>
    <row r="513" spans="1:8" x14ac:dyDescent="0.3">
      <c r="A513" s="33" t="s">
        <v>523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1580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2161500000</v>
      </c>
    </row>
    <row r="514" spans="1:8" x14ac:dyDescent="0.3">
      <c r="A514" s="33" t="s">
        <v>523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1580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160300000</v>
      </c>
    </row>
    <row r="515" spans="1:8" x14ac:dyDescent="0.3">
      <c r="A515" s="33" t="s">
        <v>523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1580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18998400000</v>
      </c>
    </row>
    <row r="516" spans="1:8" x14ac:dyDescent="0.3">
      <c r="A516" s="33" t="s">
        <v>523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1580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-5237200000</v>
      </c>
    </row>
    <row r="517" spans="1:8" x14ac:dyDescent="0.3">
      <c r="A517" s="33" t="s">
        <v>523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1580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-11900000</v>
      </c>
    </row>
    <row r="518" spans="1:8" x14ac:dyDescent="0.3">
      <c r="A518" s="33" t="s">
        <v>523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1580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-5249000000</v>
      </c>
    </row>
    <row r="519" spans="1:8" x14ac:dyDescent="0.3">
      <c r="A519" s="33" t="s">
        <v>523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1580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-59100000</v>
      </c>
    </row>
    <row r="520" spans="1:8" x14ac:dyDescent="0.3">
      <c r="A520" s="33" t="s">
        <v>523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1580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148500000</v>
      </c>
    </row>
    <row r="521" spans="1:8" x14ac:dyDescent="0.3">
      <c r="A521" s="33" t="s">
        <v>523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1580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523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1580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68319300000</v>
      </c>
    </row>
    <row r="523" spans="1:8" x14ac:dyDescent="0.3">
      <c r="A523" s="33" t="s">
        <v>523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1580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11966500000</v>
      </c>
    </row>
    <row r="524" spans="1:8" x14ac:dyDescent="0.3">
      <c r="A524" s="33" t="s">
        <v>523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1580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31-Dec-2020</v>
      </c>
    </row>
    <row r="525" spans="1:8" x14ac:dyDescent="0.3">
      <c r="A525" s="33" t="s">
        <v>523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1580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523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1580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523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1580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160326</v>
      </c>
    </row>
    <row r="528" spans="1:8" x14ac:dyDescent="0.3">
      <c r="A528" s="33" t="s">
        <v>523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1580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51814</v>
      </c>
    </row>
    <row r="529" spans="1:8" x14ac:dyDescent="0.3">
      <c r="A529" s="33" t="s">
        <v>523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1580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523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1580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180940</v>
      </c>
    </row>
    <row r="531" spans="1:8" x14ac:dyDescent="0.3">
      <c r="A531" s="33" t="s">
        <v>523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1580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393080</v>
      </c>
    </row>
    <row r="532" spans="1:8" x14ac:dyDescent="0.3">
      <c r="A532" s="33" t="s">
        <v>523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1580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33" t="s">
        <v>523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1580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3" t="s">
        <v>523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1580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523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1580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523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1580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33" t="s">
        <v>523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1580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33" t="s">
        <v>523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1580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99081600000</v>
      </c>
    </row>
    <row r="539" spans="1:8" x14ac:dyDescent="0.3">
      <c r="A539" s="33" t="s">
        <v>523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1580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83769600000</v>
      </c>
    </row>
    <row r="540" spans="1:8" x14ac:dyDescent="0.3">
      <c r="A540" s="33" t="s">
        <v>523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1580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15312000000</v>
      </c>
    </row>
    <row r="541" spans="1:8" x14ac:dyDescent="0.3">
      <c r="A541" s="33" t="s">
        <v>523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1580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0.84499999999999997</v>
      </c>
    </row>
    <row r="542" spans="1:8" x14ac:dyDescent="0.3">
      <c r="A542" s="33" t="s">
        <v>523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1580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12942600000</v>
      </c>
    </row>
    <row r="543" spans="1:8" x14ac:dyDescent="0.3">
      <c r="A543" s="33" t="s">
        <v>523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1580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2310328483</v>
      </c>
    </row>
    <row r="544" spans="1:8" x14ac:dyDescent="0.3">
      <c r="A544" s="33" t="s">
        <v>523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1580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3145810911</v>
      </c>
    </row>
    <row r="545" spans="1:8" x14ac:dyDescent="0.3">
      <c r="A545" s="33" t="s">
        <v>523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1580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-2854928654</v>
      </c>
    </row>
    <row r="546" spans="1:8" x14ac:dyDescent="0.3">
      <c r="A546" s="33" t="s">
        <v>523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1580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0.16359332746125199</v>
      </c>
    </row>
    <row r="547" spans="1:8" x14ac:dyDescent="0.3">
      <c r="A547" s="33" t="s">
        <v>523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1580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0.16359332746125199</v>
      </c>
    </row>
    <row r="548" spans="1:8" x14ac:dyDescent="0.3">
      <c r="A548" s="33" t="s">
        <v>523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1580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2117323000</v>
      </c>
    </row>
    <row r="549" spans="1:8" x14ac:dyDescent="0.3">
      <c r="A549" s="33" t="s">
        <v>523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1580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2117323000</v>
      </c>
    </row>
    <row r="550" spans="1:8" x14ac:dyDescent="0.3">
      <c r="A550" s="33" t="s">
        <v>523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1580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3" t="s">
        <v>523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1580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3" t="s">
        <v>523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1580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1387725706</v>
      </c>
    </row>
    <row r="553" spans="1:8" x14ac:dyDescent="0.3">
      <c r="A553" s="33" t="s">
        <v>523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1580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6505613883</v>
      </c>
    </row>
    <row r="554" spans="1:8" x14ac:dyDescent="0.3">
      <c r="A554" s="33" t="s">
        <v>523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1580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523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1580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355646693</v>
      </c>
    </row>
    <row r="556" spans="1:8" x14ac:dyDescent="0.3">
      <c r="A556" s="33" t="s">
        <v>523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1580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1073730175</v>
      </c>
    </row>
    <row r="557" spans="1:8" x14ac:dyDescent="0.3">
      <c r="A557" s="33" t="s">
        <v>523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1580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-160097904</v>
      </c>
    </row>
    <row r="558" spans="1:8" x14ac:dyDescent="0.3">
      <c r="A558" s="33" t="s">
        <v>523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1580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-5773010152</v>
      </c>
    </row>
    <row r="559" spans="1:8" x14ac:dyDescent="0.3">
      <c r="A559" s="33" t="s">
        <v>523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1580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-1137976286</v>
      </c>
    </row>
    <row r="560" spans="1:8" x14ac:dyDescent="0.3">
      <c r="A560" s="33" t="s">
        <v>523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1580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58696368</v>
      </c>
    </row>
    <row r="561" spans="1:8" x14ac:dyDescent="0.3">
      <c r="A561" s="33" t="s">
        <v>523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1580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523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1580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523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1580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523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1580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2310328483</v>
      </c>
    </row>
    <row r="565" spans="1:8" x14ac:dyDescent="0.3">
      <c r="A565" s="33" t="s">
        <v>523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1580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33" t="s">
        <v>523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1580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33" t="s">
        <v>523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1580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33" t="s">
        <v>523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1580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27154500000</v>
      </c>
    </row>
    <row r="569" spans="1:8" x14ac:dyDescent="0.3">
      <c r="A569" s="33" t="s">
        <v>523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1580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15312000000</v>
      </c>
    </row>
    <row r="570" spans="1:8" x14ac:dyDescent="0.3">
      <c r="A570" s="33" t="s">
        <v>523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1580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5400400000</v>
      </c>
    </row>
    <row r="571" spans="1:8" x14ac:dyDescent="0.3">
      <c r="A571" s="33" t="s">
        <v>523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1580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523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1580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96297800000</v>
      </c>
    </row>
    <row r="573" spans="1:8" x14ac:dyDescent="0.3">
      <c r="A573" s="33" t="s">
        <v>523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1580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1387700000</v>
      </c>
    </row>
    <row r="574" spans="1:8" x14ac:dyDescent="0.3">
      <c r="A574" s="33" t="s">
        <v>523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1580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6505600000</v>
      </c>
    </row>
    <row r="575" spans="1:8" x14ac:dyDescent="0.3">
      <c r="A575" s="33" t="s">
        <v>523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1580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523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1580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-116700000</v>
      </c>
    </row>
    <row r="577" spans="1:8" x14ac:dyDescent="0.3">
      <c r="A577" s="33" t="s">
        <v>523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1580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490300000</v>
      </c>
    </row>
    <row r="578" spans="1:8" x14ac:dyDescent="0.3">
      <c r="A578" s="33" t="s">
        <v>523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1580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4030200000</v>
      </c>
    </row>
    <row r="579" spans="1:8" x14ac:dyDescent="0.3">
      <c r="A579" s="33" t="s">
        <v>523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1580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160100000</v>
      </c>
    </row>
    <row r="580" spans="1:8" x14ac:dyDescent="0.3">
      <c r="A580" s="33" t="s">
        <v>523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1580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789800000</v>
      </c>
    </row>
    <row r="581" spans="1:8" x14ac:dyDescent="0.3">
      <c r="A581" s="33" t="s">
        <v>523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1580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-5468200000</v>
      </c>
    </row>
    <row r="582" spans="1:8" x14ac:dyDescent="0.3">
      <c r="A582" s="33" t="s">
        <v>523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1580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-14900000</v>
      </c>
    </row>
    <row r="583" spans="1:8" x14ac:dyDescent="0.3">
      <c r="A583" s="33" t="s">
        <v>523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1580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-5483100000</v>
      </c>
    </row>
    <row r="584" spans="1:8" x14ac:dyDescent="0.3">
      <c r="A584" s="33" t="s">
        <v>523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1580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-58700000</v>
      </c>
    </row>
    <row r="585" spans="1:8" x14ac:dyDescent="0.3">
      <c r="A585" s="33" t="s">
        <v>523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1580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523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1580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523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1580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84331300000</v>
      </c>
    </row>
    <row r="588" spans="1:8" x14ac:dyDescent="0.3">
      <c r="A588" s="33" t="s">
        <v>523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1580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15312000000</v>
      </c>
    </row>
    <row r="589" spans="1:8" x14ac:dyDescent="0.3">
      <c r="A589" s="33" t="s">
        <v>314</v>
      </c>
      <c r="B589" s="33">
        <v>4</v>
      </c>
      <c r="C589" s="33">
        <v>3</v>
      </c>
      <c r="E589" s="33">
        <f t="shared" ref="E589" si="1197">plan_id</f>
        <v>1580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314</v>
      </c>
      <c r="B590" s="33">
        <f>B589</f>
        <v>4</v>
      </c>
      <c r="C590" s="33">
        <f>C589+1</f>
        <v>4</v>
      </c>
      <c r="E590" s="33">
        <f t="shared" ref="E590" si="1198">plan_id</f>
        <v>1580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</v>
      </c>
    </row>
    <row r="591" spans="1:8" x14ac:dyDescent="0.3">
      <c r="A591" s="33" t="s">
        <v>314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1580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0.1234</v>
      </c>
    </row>
    <row r="592" spans="1:8" x14ac:dyDescent="0.3">
      <c r="A592" s="33" t="s">
        <v>314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1580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0.1232</v>
      </c>
    </row>
    <row r="593" spans="1:8" x14ac:dyDescent="0.3">
      <c r="A593" s="33" t="s">
        <v>314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1580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2.0000000000000001E-4</v>
      </c>
    </row>
    <row r="594" spans="1:8" x14ac:dyDescent="0.3">
      <c r="A594" s="33" t="s">
        <v>314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1580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314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1580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-2.3599999999999999E-2</v>
      </c>
    </row>
    <row r="596" spans="1:8" x14ac:dyDescent="0.3">
      <c r="A596" s="33" t="s">
        <v>314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1580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-2.3599999999999999E-2</v>
      </c>
    </row>
    <row r="597" spans="1:8" x14ac:dyDescent="0.3">
      <c r="A597" s="33" t="s">
        <v>314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1580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314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1580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1163042000</v>
      </c>
    </row>
    <row r="599" spans="1:8" x14ac:dyDescent="0.3">
      <c r="A599" s="33" t="s">
        <v>314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1580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385222000</v>
      </c>
    </row>
    <row r="600" spans="1:8" x14ac:dyDescent="0.3">
      <c r="A600" s="33" t="s">
        <v>314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1580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314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1580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314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1580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314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1580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314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1580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9.9599999999999994E-2</v>
      </c>
    </row>
    <row r="605" spans="1:8" x14ac:dyDescent="0.3">
      <c r="A605" s="33" t="s">
        <v>314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1580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Judges:7%, All Others:6%</v>
      </c>
    </row>
    <row r="606" spans="1:8" x14ac:dyDescent="0.3">
      <c r="A606" s="33" t="s">
        <v>314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1580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3" t="s">
        <v>314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1580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314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1580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314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1580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1.00% - 3.75%, Based on membership</v>
      </c>
    </row>
    <row r="610" spans="1:8" x14ac:dyDescent="0.3">
      <c r="A610" s="33" t="s">
        <v>314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1580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3" t="s">
        <v>314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1580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314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1580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314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1580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314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1580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6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2% of previous years benefits</v>
      </c>
    </row>
    <row r="615" spans="1:8" x14ac:dyDescent="0.3">
      <c r="A615" s="33" t="s">
        <v>314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1580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314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1580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314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1580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314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1580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3" t="s">
        <v>314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1580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314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1580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3" t="s">
        <v>314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1580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314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1580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3" t="s">
        <v>314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1580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314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1580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4.2500000000000003E-2</v>
      </c>
    </row>
    <row r="625" spans="1:8" x14ac:dyDescent="0.3">
      <c r="A625" s="33" t="s">
        <v>314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1580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3" t="s">
        <v>314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1580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111-113</v>
      </c>
    </row>
    <row r="627" spans="1:8" x14ac:dyDescent="0.3">
      <c r="A627" s="33" t="s">
        <v>314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1580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106</v>
      </c>
    </row>
    <row r="628" spans="1:8" x14ac:dyDescent="0.3">
      <c r="A628" s="33" t="s">
        <v>314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1580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RP-2000</v>
      </c>
    </row>
    <row r="629" spans="1:8" x14ac:dyDescent="0.3">
      <c r="A629" s="33" t="s">
        <v>314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1580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2000</v>
      </c>
    </row>
    <row r="630" spans="1:8" x14ac:dyDescent="0.3">
      <c r="A630" s="33" t="s">
        <v>314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1580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314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1580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State and Local - Male, General: 1.5yrs, Police fire: 1 yr, Female: 1.5yrs; School district, Male: 2 yr, Female: 3 yr; Judges: Male &amp; Female: 1.5 yr</v>
      </c>
    </row>
    <row r="632" spans="1:8" x14ac:dyDescent="0.3">
      <c r="A632" s="33" t="s">
        <v>314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1580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314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1580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33" t="s">
        <v>314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1580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Amortization period to December 31, 2027 or 38 years</v>
      </c>
    </row>
    <row r="635" spans="1:8" x14ac:dyDescent="0.3">
      <c r="A635" s="33" t="s">
        <v>314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1580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3" t="s">
        <v>314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1580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314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1580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3" t="s">
        <v>314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1580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314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1580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33" t="s">
        <v>314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1580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314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1580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314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1580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5.7111969662121712E-4</v>
      </c>
    </row>
    <row r="643" spans="1:8" x14ac:dyDescent="0.3">
      <c r="A643" s="33" t="s">
        <v>314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1580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3" t="s">
        <v>314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1580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39772700000</v>
      </c>
    </row>
    <row r="645" spans="1:8" x14ac:dyDescent="0.3">
      <c r="A645" s="33" t="s">
        <v>314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1580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45386100000</v>
      </c>
    </row>
    <row r="646" spans="1:8" x14ac:dyDescent="0.3">
      <c r="A646" s="33" t="s">
        <v>314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1580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5613400000</v>
      </c>
    </row>
    <row r="647" spans="1:8" x14ac:dyDescent="0.3">
      <c r="A647" s="33" t="s">
        <v>314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1580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1.0669999999999999</v>
      </c>
    </row>
    <row r="648" spans="1:8" x14ac:dyDescent="0.3">
      <c r="A648" s="33" t="s">
        <v>314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1580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6254000000</v>
      </c>
    </row>
    <row r="649" spans="1:8" x14ac:dyDescent="0.3">
      <c r="A649" s="33" t="s">
        <v>314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1580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314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1580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314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1580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314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1580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314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1580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314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1580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314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1580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314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1580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314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1580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314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1580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314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1580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314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1580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314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1580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314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1580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314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1580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314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1580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314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1580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314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1580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314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1580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314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1580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314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1580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314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1580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314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1580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314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1580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3" t="s">
        <v>314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1580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314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1580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314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1580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314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1580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314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1580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314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1580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314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1580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314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1580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314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1580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</v>
      </c>
    </row>
    <row r="682" spans="1:8" x14ac:dyDescent="0.3">
      <c r="A682" s="33" t="s">
        <v>314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1580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0.12379999999999999</v>
      </c>
    </row>
    <row r="683" spans="1:8" x14ac:dyDescent="0.3">
      <c r="A683" s="33" t="s">
        <v>314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1580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0.1236</v>
      </c>
    </row>
    <row r="684" spans="1:8" x14ac:dyDescent="0.3">
      <c r="A684" s="33" t="s">
        <v>314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1580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2.0000000000000001E-4</v>
      </c>
    </row>
    <row r="685" spans="1:8" x14ac:dyDescent="0.3">
      <c r="A685" s="33" t="s">
        <v>314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1580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314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1580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3.3000000000000002E-2</v>
      </c>
    </row>
    <row r="687" spans="1:8" x14ac:dyDescent="0.3">
      <c r="A687" s="33" t="s">
        <v>314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1580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3.3000000000000002E-2</v>
      </c>
    </row>
    <row r="688" spans="1:8" x14ac:dyDescent="0.3">
      <c r="A688" s="33" t="s">
        <v>314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1580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314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1580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3" t="s">
        <v>314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1580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3" t="s">
        <v>314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1580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314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1580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314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1580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314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1580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314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1580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0.15659999999999999</v>
      </c>
    </row>
    <row r="696" spans="1:8" x14ac:dyDescent="0.3">
      <c r="A696" s="33" t="s">
        <v>314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1580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314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1580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3" t="s">
        <v>314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1580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314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1580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314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1580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314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1580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3" t="s">
        <v>314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1580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314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1580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314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1580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314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1580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314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1580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3" t="s">
        <v>314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1580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3" t="s">
        <v>314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1580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314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1580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3" t="s">
        <v>314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1580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3" t="s">
        <v>314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1580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3" t="s">
        <v>314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1580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3" t="s">
        <v>314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1580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3" t="s">
        <v>314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1580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314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1580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4.2500000000000003E-2</v>
      </c>
    </row>
    <row r="716" spans="1:8" x14ac:dyDescent="0.3">
      <c r="A716" s="33" t="s">
        <v>314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1580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3" t="s">
        <v>314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1580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314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1580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314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1580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314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1580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314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1580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314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1580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314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1580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314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1580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33" t="s">
        <v>314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1580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Amortization period to December 31, 2027</v>
      </c>
    </row>
    <row r="726" spans="1:8" x14ac:dyDescent="0.3">
      <c r="A726" s="33" t="s">
        <v>314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1580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3" t="s">
        <v>314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1580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314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1580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3" t="s">
        <v>314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1580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314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1580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33" t="s">
        <v>314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1580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314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1580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3" t="s">
        <v>314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1580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314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1580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3" t="s">
        <v>314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1580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35446900000</v>
      </c>
    </row>
    <row r="736" spans="1:8" x14ac:dyDescent="0.3">
      <c r="A736" s="33" t="s">
        <v>314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1580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38947000000</v>
      </c>
    </row>
    <row r="737" spans="1:8" x14ac:dyDescent="0.3">
      <c r="A737" s="33" t="s">
        <v>314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1580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3500100000</v>
      </c>
    </row>
    <row r="738" spans="1:8" x14ac:dyDescent="0.3">
      <c r="A738" s="33" t="s">
        <v>314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1580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0.91</v>
      </c>
    </row>
    <row r="739" spans="1:8" x14ac:dyDescent="0.3">
      <c r="A739" s="33" t="s">
        <v>314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1580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6383500000</v>
      </c>
    </row>
    <row r="740" spans="1:8" x14ac:dyDescent="0.3">
      <c r="A740" s="33" t="s">
        <v>314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1580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314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1580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314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1580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314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1580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314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1580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314</v>
      </c>
      <c r="B745" s="33">
        <f>B744</f>
        <v>5</v>
      </c>
      <c r="C745" s="33">
        <f t="shared" si="1514"/>
        <v>68</v>
      </c>
      <c r="E745" s="33">
        <f t="shared" ref="E745" si="1517">plan_id</f>
        <v>1580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314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1580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314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1580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314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1580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314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1580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314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1580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314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1580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314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1580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314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1580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314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1580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314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1580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314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1580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314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1580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314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1580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314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1580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314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1580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314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1580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314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1580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314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1580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3" t="s">
        <v>314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1580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314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1580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314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1580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314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1580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314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1580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314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1580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314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1580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314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1580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314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1580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</v>
      </c>
    </row>
    <row r="773" spans="1:8" x14ac:dyDescent="0.3">
      <c r="A773" s="33" t="s">
        <v>314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1580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0.1241</v>
      </c>
    </row>
    <row r="774" spans="1:8" x14ac:dyDescent="0.3">
      <c r="A774" s="33" t="s">
        <v>314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1580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0.1239</v>
      </c>
    </row>
    <row r="775" spans="1:8" x14ac:dyDescent="0.3">
      <c r="A775" s="33" t="s">
        <v>314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1580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2.0000000000000001E-4</v>
      </c>
    </row>
    <row r="776" spans="1:8" x14ac:dyDescent="0.3">
      <c r="A776" s="33" t="s">
        <v>314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1580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314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1580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5.8799999999999998E-2</v>
      </c>
    </row>
    <row r="778" spans="1:8" x14ac:dyDescent="0.3">
      <c r="A778" s="33" t="s">
        <v>314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1580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5.8799999999999998E-2</v>
      </c>
    </row>
    <row r="779" spans="1:8" x14ac:dyDescent="0.3">
      <c r="A779" s="33" t="s">
        <v>314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1580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314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1580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966442000</v>
      </c>
    </row>
    <row r="781" spans="1:8" x14ac:dyDescent="0.3">
      <c r="A781" s="33" t="s">
        <v>314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1580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404990000</v>
      </c>
    </row>
    <row r="782" spans="1:8" x14ac:dyDescent="0.3">
      <c r="A782" s="33" t="s">
        <v>314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1580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314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1580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314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1580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314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1580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314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1580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0.1827</v>
      </c>
    </row>
    <row r="787" spans="1:8" x14ac:dyDescent="0.3">
      <c r="A787" s="33" t="s">
        <v>314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1580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Judges:7%, All Others:6%</v>
      </c>
    </row>
    <row r="788" spans="1:8" x14ac:dyDescent="0.3">
      <c r="A788" s="33" t="s">
        <v>314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1580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3" t="s">
        <v>314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1580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314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1580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314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1580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1.00% - 3.75%, Based on membership</v>
      </c>
    </row>
    <row r="792" spans="1:8" x14ac:dyDescent="0.3">
      <c r="A792" s="33" t="s">
        <v>314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1580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3" t="s">
        <v>314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1580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314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1580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314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1580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314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1580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6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2% of previous years benefits</v>
      </c>
    </row>
    <row r="797" spans="1:8" x14ac:dyDescent="0.3">
      <c r="A797" s="33" t="s">
        <v>314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1580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314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1580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314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1580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314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1580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3" t="s">
        <v>314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1580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314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1580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3" t="s">
        <v>314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1580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314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1580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3" t="s">
        <v>314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1580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314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1580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33" t="s">
        <v>314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1580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Salary increase: 0.05% to 4.5%</v>
      </c>
    </row>
    <row r="808" spans="1:8" x14ac:dyDescent="0.3">
      <c r="A808" s="33" t="s">
        <v>314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1580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67-69</v>
      </c>
    </row>
    <row r="809" spans="1:8" x14ac:dyDescent="0.3">
      <c r="A809" s="33" t="s">
        <v>314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1580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62</v>
      </c>
    </row>
    <row r="810" spans="1:8" x14ac:dyDescent="0.3">
      <c r="A810" s="33" t="s">
        <v>314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1580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</v>
      </c>
    </row>
    <row r="811" spans="1:8" x14ac:dyDescent="0.3">
      <c r="A811" s="33" t="s">
        <v>314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1580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33" t="s">
        <v>314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1580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314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1580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State and Local - Male, General: 1.5yrs, Police fire: 1 yr, Female: 1.5yrs; School district, Male: 2 yrs, Female: 3 yrs; Judges: Male: 1.5yrs, Female: 1.5yrs</v>
      </c>
    </row>
    <row r="814" spans="1:8" x14ac:dyDescent="0.3">
      <c r="A814" s="33" t="s">
        <v>314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1580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314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1580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(Increasing Dollar amount)</v>
      </c>
    </row>
    <row r="816" spans="1:8" x14ac:dyDescent="0.3">
      <c r="A816" s="33" t="s">
        <v>314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1580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24 years or 26 years</v>
      </c>
    </row>
    <row r="817" spans="1:8" x14ac:dyDescent="0.3">
      <c r="A817" s="33" t="s">
        <v>314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1580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3" t="s">
        <v>314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1580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314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1580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3" t="s">
        <v>314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1580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314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1580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33" t="s">
        <v>314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1580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314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1580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3" t="s">
        <v>314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1580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5.3960151313041361E-4</v>
      </c>
    </row>
    <row r="825" spans="1:8" x14ac:dyDescent="0.3">
      <c r="A825" s="33" t="s">
        <v>314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1580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3" t="s">
        <v>314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1580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42753300000</v>
      </c>
    </row>
    <row r="827" spans="1:8" x14ac:dyDescent="0.3">
      <c r="A827" s="33" t="s">
        <v>314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1580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44078100000</v>
      </c>
    </row>
    <row r="828" spans="1:8" x14ac:dyDescent="0.3">
      <c r="A828" s="33" t="s">
        <v>314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1580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1324800000</v>
      </c>
    </row>
    <row r="829" spans="1:8" x14ac:dyDescent="0.3">
      <c r="A829" s="33" t="s">
        <v>314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1580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</v>
      </c>
    </row>
    <row r="830" spans="1:8" x14ac:dyDescent="0.3">
      <c r="A830" s="33" t="s">
        <v>314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1580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6248500000</v>
      </c>
    </row>
    <row r="831" spans="1:8" x14ac:dyDescent="0.3">
      <c r="A831" s="33" t="s">
        <v>314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1580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314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1580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314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1580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314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1580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314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1580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314</v>
      </c>
      <c r="B836" s="33">
        <f>B835</f>
        <v>6</v>
      </c>
      <c r="C836" s="33">
        <f t="shared" si="1645"/>
        <v>68</v>
      </c>
      <c r="E836" s="33">
        <f t="shared" ref="E836" si="1703">plan_id</f>
        <v>1580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314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1580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314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1580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314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1580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314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1580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314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1580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314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1580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314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1580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314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1580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314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1580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314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1580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314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1580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314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1580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314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1580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314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1580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314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1580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314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1580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314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1580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314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1580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3" t="s">
        <v>314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1580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314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1580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314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1580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314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1580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314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1580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314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1580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314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1580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314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1580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2008</v>
      </c>
    </row>
    <row r="863" spans="1:8" x14ac:dyDescent="0.3">
      <c r="A863" s="33" t="s">
        <v>314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1580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Mercer</v>
      </c>
    </row>
    <row r="864" spans="1:8" x14ac:dyDescent="0.3">
      <c r="A864" s="33" t="s">
        <v>314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1580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314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1580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4.9000000000000002E-2</v>
      </c>
    </row>
    <row r="866" spans="1:8" x14ac:dyDescent="0.3">
      <c r="A866" s="33" t="s">
        <v>314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1580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2.0000000000000001E-4</v>
      </c>
    </row>
    <row r="867" spans="1:8" x14ac:dyDescent="0.3">
      <c r="A867" s="33" t="s">
        <v>314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1580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314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1580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0.1229</v>
      </c>
    </row>
    <row r="869" spans="1:8" x14ac:dyDescent="0.3">
      <c r="A869" s="33" t="s">
        <v>314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1580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0.1229</v>
      </c>
    </row>
    <row r="870" spans="1:8" x14ac:dyDescent="0.3">
      <c r="A870" s="33" t="s">
        <v>314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1580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314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1580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1038599999.9999999</v>
      </c>
    </row>
    <row r="872" spans="1:8" x14ac:dyDescent="0.3">
      <c r="A872" s="33" t="s">
        <v>314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1580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14200000</v>
      </c>
    </row>
    <row r="873" spans="1:8" x14ac:dyDescent="0.3">
      <c r="A873" s="33" t="s">
        <v>314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1580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314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1580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314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1580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314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1580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314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1580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0.1719</v>
      </c>
    </row>
    <row r="878" spans="1:8" x14ac:dyDescent="0.3">
      <c r="A878" s="33" t="s">
        <v>314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1580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Judges:7%, All Others: None</v>
      </c>
    </row>
    <row r="879" spans="1:8" x14ac:dyDescent="0.3">
      <c r="A879" s="33" t="s">
        <v>314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1580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3" t="s">
        <v>314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1580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314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1580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314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1580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1.00% - 3.75%, Based on membership</v>
      </c>
    </row>
    <row r="883" spans="1:8" x14ac:dyDescent="0.3">
      <c r="A883" s="33" t="s">
        <v>314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1580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3" t="s">
        <v>314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1580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314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1580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314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1580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314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1580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6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2% of previous years benefits</v>
      </c>
    </row>
    <row r="888" spans="1:8" x14ac:dyDescent="0.3">
      <c r="A888" s="33" t="s">
        <v>314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1580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314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1580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314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1580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314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1580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3" t="s">
        <v>314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1580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314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1580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3" t="s">
        <v>314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1580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314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1580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3" t="s">
        <v>314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1580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314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1580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3" t="s">
        <v>314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1580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Salary increase: 0% to 2.5%</v>
      </c>
    </row>
    <row r="899" spans="1:8" x14ac:dyDescent="0.3">
      <c r="A899" s="33" t="s">
        <v>314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1580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72-74</v>
      </c>
    </row>
    <row r="900" spans="1:8" x14ac:dyDescent="0.3">
      <c r="A900" s="33" t="s">
        <v>314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1580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69-70</v>
      </c>
    </row>
    <row r="901" spans="1:8" x14ac:dyDescent="0.3">
      <c r="A901" s="33" t="s">
        <v>314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1580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</v>
      </c>
    </row>
    <row r="902" spans="1:8" x14ac:dyDescent="0.3">
      <c r="A902" s="33" t="s">
        <v>314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1580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33" t="s">
        <v>314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1580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314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1580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School District Male: 2yrs; Other General Service Male, Other female, Beneficiary Male and Female: 1.5yrs; Police &amp; Fire Male: 1yr; School District Female: 3yrs</v>
      </c>
    </row>
    <row r="905" spans="1:8" x14ac:dyDescent="0.3">
      <c r="A905" s="33" t="s">
        <v>314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1580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314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1580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33" t="s">
        <v>314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1580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23 years</v>
      </c>
    </row>
    <row r="908" spans="1:8" x14ac:dyDescent="0.3">
      <c r="A908" s="33" t="s">
        <v>314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1580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33" t="s">
        <v>314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1580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314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1580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3" t="s">
        <v>314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1580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314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1580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314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1580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314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1580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3" t="s">
        <v>314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1580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5.4175131530968378E-4</v>
      </c>
    </row>
    <row r="916" spans="1:8" x14ac:dyDescent="0.3">
      <c r="A916" s="33" t="s">
        <v>314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1580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3" t="s">
        <v>314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1580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45581100000</v>
      </c>
    </row>
    <row r="918" spans="1:8" x14ac:dyDescent="0.3">
      <c r="A918" s="33" t="s">
        <v>314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1580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47398600000</v>
      </c>
    </row>
    <row r="919" spans="1:8" x14ac:dyDescent="0.3">
      <c r="A919" s="33" t="s">
        <v>314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1580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1817500000</v>
      </c>
    </row>
    <row r="920" spans="1:8" x14ac:dyDescent="0.3">
      <c r="A920" s="33" t="s">
        <v>314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1580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0.96199999999999997</v>
      </c>
    </row>
    <row r="921" spans="1:8" x14ac:dyDescent="0.3">
      <c r="A921" s="33" t="s">
        <v>314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1580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6772400000</v>
      </c>
    </row>
    <row r="922" spans="1:8" x14ac:dyDescent="0.3">
      <c r="A922" s="33" t="s">
        <v>314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1580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1435200000</v>
      </c>
    </row>
    <row r="923" spans="1:8" x14ac:dyDescent="0.3">
      <c r="A923" s="33" t="s">
        <v>314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1580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314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1580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314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1580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314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1580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314</v>
      </c>
      <c r="B927" s="33">
        <f>B926</f>
        <v>7</v>
      </c>
      <c r="C927" s="33">
        <f t="shared" si="1777"/>
        <v>68</v>
      </c>
      <c r="E927" s="33">
        <f t="shared" ref="E927" si="1890">plan_id</f>
        <v>1580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314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1580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314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1580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314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1580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314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1580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359800000</v>
      </c>
    </row>
    <row r="932" spans="1:8" x14ac:dyDescent="0.3">
      <c r="A932" s="33" t="s">
        <v>314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1580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314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1580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314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1580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314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1580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314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1580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314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1580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314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1580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314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1580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314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1580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314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1580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314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1580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314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1580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314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1580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774100000</v>
      </c>
    </row>
    <row r="945" spans="1:8" x14ac:dyDescent="0.3">
      <c r="A945" s="33" t="s">
        <v>314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1580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1448199999.9999998</v>
      </c>
    </row>
    <row r="946" spans="1:8" x14ac:dyDescent="0.3">
      <c r="A946" s="33" t="s">
        <v>314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1580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314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1580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314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1580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314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1580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314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1580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-943900000</v>
      </c>
    </row>
    <row r="951" spans="1:8" x14ac:dyDescent="0.3">
      <c r="A951" s="33" t="s">
        <v>314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1580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508600000</v>
      </c>
    </row>
    <row r="952" spans="1:8" x14ac:dyDescent="0.3">
      <c r="A952" s="33" t="s">
        <v>314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1580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314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1580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33" t="s">
        <v>314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1580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Mercer</v>
      </c>
    </row>
    <row r="955" spans="1:8" x14ac:dyDescent="0.3">
      <c r="A955" s="33" t="s">
        <v>314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1580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314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1580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314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1580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314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1580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314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1580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314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1580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314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1580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314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1580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3" t="s">
        <v>314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1580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3" t="s">
        <v>314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1580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314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1580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314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1580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314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1580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314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1580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314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1580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314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1580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3" t="s">
        <v>314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1580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314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1580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314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1580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Final average salary times years of retirement credit attributable to service as police and fire times 1.8% + final average salary for all other years of retirement credit times 1.5%</v>
      </c>
    </row>
    <row r="974" spans="1:8" x14ac:dyDescent="0.3">
      <c r="A974" s="33" t="s">
        <v>314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1580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3" t="s">
        <v>314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1580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314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1580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314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1580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314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1580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2% of previous years benefits</v>
      </c>
    </row>
    <row r="979" spans="1:8" x14ac:dyDescent="0.3">
      <c r="A979" s="33" t="s">
        <v>314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1580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314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1580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314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1580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314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1580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3" t="s">
        <v>314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1580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314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1580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3" t="s">
        <v>314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1580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314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1580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2.75E-2</v>
      </c>
    </row>
    <row r="987" spans="1:8" x14ac:dyDescent="0.3">
      <c r="A987" s="33" t="s">
        <v>314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1580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3" t="s">
        <v>314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1580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3.7499999999999999E-2</v>
      </c>
    </row>
    <row r="989" spans="1:8" x14ac:dyDescent="0.3">
      <c r="A989" s="33" t="s">
        <v>314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1580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Salary increase: 0% to 2.5%</v>
      </c>
    </row>
    <row r="990" spans="1:8" x14ac:dyDescent="0.3">
      <c r="A990" s="33" t="s">
        <v>314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1580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25</v>
      </c>
    </row>
    <row r="991" spans="1:8" x14ac:dyDescent="0.3">
      <c r="A991" s="33" t="s">
        <v>314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1580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24</v>
      </c>
    </row>
    <row r="992" spans="1:8" x14ac:dyDescent="0.3">
      <c r="A992" s="33" t="s">
        <v>314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1580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</v>
      </c>
    </row>
    <row r="993" spans="1:8" x14ac:dyDescent="0.3">
      <c r="A993" s="33" t="s">
        <v>314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1580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3" t="s">
        <v>314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1580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314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1580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School District Male&amp;Female: 3yrs; Other General Service Male, Beneficiary Male: 2yrs, Other female and Beneficiary Female: 1.5yrs; Police &amp; Fire Male: 1yr</v>
      </c>
    </row>
    <row r="996" spans="1:8" x14ac:dyDescent="0.3">
      <c r="A996" s="33" t="s">
        <v>314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1580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314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1580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33" t="s">
        <v>314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1580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16 years</v>
      </c>
    </row>
    <row r="999" spans="1:8" x14ac:dyDescent="0.3">
      <c r="A999" s="33" t="s">
        <v>314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1580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33" t="s">
        <v>314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1580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3" t="s">
        <v>314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1580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3" t="s">
        <v>314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1580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3" t="s">
        <v>314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1580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314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1580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314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1580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3" t="s">
        <v>314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1580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3" t="s">
        <v>314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1580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3" t="s">
        <v>314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1580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51382600000</v>
      </c>
    </row>
    <row r="1009" spans="1:8" x14ac:dyDescent="0.3">
      <c r="A1009" s="33" t="s">
        <v>314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1580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49294000000</v>
      </c>
    </row>
    <row r="1010" spans="1:8" x14ac:dyDescent="0.3">
      <c r="A1010" s="33" t="s">
        <v>314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1580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-2088600000</v>
      </c>
    </row>
    <row r="1011" spans="1:8" x14ac:dyDescent="0.3">
      <c r="A1011" s="33" t="s">
        <v>314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1580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1.042</v>
      </c>
    </row>
    <row r="1012" spans="1:8" x14ac:dyDescent="0.3">
      <c r="A1012" s="33" t="s">
        <v>314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1580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6791600000</v>
      </c>
    </row>
    <row r="1013" spans="1:8" x14ac:dyDescent="0.3">
      <c r="A1013" s="33" t="s">
        <v>314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1580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3" t="s">
        <v>314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1580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314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1580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314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1580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314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1580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314</v>
      </c>
      <c r="B1018" s="33">
        <f>B1017</f>
        <v>8</v>
      </c>
      <c r="C1018" s="33">
        <f t="shared" si="2040"/>
        <v>68</v>
      </c>
      <c r="E1018" s="33">
        <f t="shared" ref="E1018" si="2078">plan_id</f>
        <v>1580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314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1580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314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1580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314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1580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314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1580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314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1580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314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1580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314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1580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314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1580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314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1580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314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1580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314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1580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314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1580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314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1580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314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1580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314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1580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314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1580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314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1580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314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1580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3" t="s">
        <v>314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1580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314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1580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314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1580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314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1580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314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1580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314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1580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314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1580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314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1580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3" t="s">
        <v>314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1580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Mercer</v>
      </c>
    </row>
    <row r="1046" spans="1:8" x14ac:dyDescent="0.3">
      <c r="A1046" s="33" t="s">
        <v>314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1580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314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1580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Tier 1/Tier 2 (Pre-Rate &amp; Post Rate Collar): 5.30%;  OPSRP: 6.23%</v>
      </c>
    </row>
    <row r="1048" spans="1:8" x14ac:dyDescent="0.3">
      <c r="A1048" s="33" t="s">
        <v>314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1580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Tier 1/Tier 2 (Pre-Rate &amp; Post Rate Collar): 0.02%</v>
      </c>
    </row>
    <row r="1049" spans="1:8" x14ac:dyDescent="0.3">
      <c r="A1049" s="33" t="s">
        <v>314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1580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314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1580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Tier 1/Tier 2 (Pre-Rate &amp; Post Rate Collar):7.39%; OPSRP: -0.04%</v>
      </c>
    </row>
    <row r="1051" spans="1:8" x14ac:dyDescent="0.3">
      <c r="A1051" s="33" t="s">
        <v>314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1580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Tier 1/Tier 2 (Pre-Rate &amp; Post Rate Collar):7.39%; OPSRP: -0.04%</v>
      </c>
    </row>
    <row r="1052" spans="1:8" x14ac:dyDescent="0.3">
      <c r="A1052" s="33" t="s">
        <v>314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1580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314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1580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658100000</v>
      </c>
    </row>
    <row r="1054" spans="1:8" x14ac:dyDescent="0.3">
      <c r="A1054" s="33" t="s">
        <v>314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1580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10700000</v>
      </c>
    </row>
    <row r="1055" spans="1:8" x14ac:dyDescent="0.3">
      <c r="A1055" s="33" t="s">
        <v>314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1580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314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1580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314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1580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314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1580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314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1580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Tier 1/Tier 2 (Pre-Rate &amp; Post Rate Collar): 12.69%; OPSRP: 6.19%</v>
      </c>
    </row>
    <row r="1060" spans="1:8" x14ac:dyDescent="0.3">
      <c r="A1060" s="33" t="s">
        <v>314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1580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Judges:7%, All Others: None</v>
      </c>
    </row>
    <row r="1061" spans="1:8" x14ac:dyDescent="0.3">
      <c r="A1061" s="33" t="s">
        <v>314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1580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314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1580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314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1580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314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1580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 1&amp;2: 1.00% - 3.75%, Based on membership; OPSRP: FAS times Yrs of CS attributable to fire and police times 1.8%+ all other years of retirement credit times 1.5%</v>
      </c>
    </row>
    <row r="1065" spans="1:8" x14ac:dyDescent="0.3">
      <c r="A1065" s="33" t="s">
        <v>314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1580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3" t="s">
        <v>314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1580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314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1580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314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1580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314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1580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2% of previous years benefits</v>
      </c>
    </row>
    <row r="1070" spans="1:8" x14ac:dyDescent="0.3">
      <c r="A1070" s="33" t="s">
        <v>314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1580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314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1580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314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1580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314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1580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3" t="s">
        <v>314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1580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314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1580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3" t="s">
        <v>314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1580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314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1580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2.75E-2</v>
      </c>
    </row>
    <row r="1078" spans="1:8" x14ac:dyDescent="0.3">
      <c r="A1078" s="33" t="s">
        <v>314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1580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3" t="s">
        <v>314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1580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">
      <c r="A1080" s="33" t="s">
        <v>314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1580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Salary increase: 0% to 2.5%</v>
      </c>
    </row>
    <row r="1081" spans="1:8" x14ac:dyDescent="0.3">
      <c r="A1081" s="33" t="s">
        <v>314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1580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87-88</v>
      </c>
    </row>
    <row r="1082" spans="1:8" x14ac:dyDescent="0.3">
      <c r="A1082" s="33" t="s">
        <v>314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1580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85-86</v>
      </c>
    </row>
    <row r="1083" spans="1:8" x14ac:dyDescent="0.3">
      <c r="A1083" s="33" t="s">
        <v>314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1580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</v>
      </c>
    </row>
    <row r="1084" spans="1:8" x14ac:dyDescent="0.3">
      <c r="A1084" s="33" t="s">
        <v>314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1580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3" t="s">
        <v>314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1580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314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1580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School District Male&amp;Female: 3yrs; Other General Service Male, Beneficiary Male: 2yrs, Other female and Beneficiary Female: 1.5yrs; Police &amp; Fire Male: 1yr</v>
      </c>
    </row>
    <row r="1087" spans="1:8" x14ac:dyDescent="0.3">
      <c r="A1087" s="33" t="s">
        <v>314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1580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314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1580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3" t="s">
        <v>314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1580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Tier 1/ Tier2: Amortization period to December 31, 2027; OPSRP Benefits: 16 years</v>
      </c>
    </row>
    <row r="1090" spans="1:8" x14ac:dyDescent="0.3">
      <c r="A1090" s="33" t="s">
        <v>314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1580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3" t="s">
        <v>314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1580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3" t="s">
        <v>314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1580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3" t="s">
        <v>314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1580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3" t="s">
        <v>314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1580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314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1580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314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1580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3" t="s">
        <v>314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1580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5.9347660208403151E-4</v>
      </c>
    </row>
    <row r="1098" spans="1:8" x14ac:dyDescent="0.3">
      <c r="A1098" s="33" t="s">
        <v>314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1580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3" t="s">
        <v>314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1580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56616500000</v>
      </c>
    </row>
    <row r="1100" spans="1:8" x14ac:dyDescent="0.3">
      <c r="A1100" s="33" t="s">
        <v>314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1580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51252900000</v>
      </c>
    </row>
    <row r="1101" spans="1:8" x14ac:dyDescent="0.3">
      <c r="A1101" s="33" t="s">
        <v>314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1580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-5363500000</v>
      </c>
    </row>
    <row r="1102" spans="1:8" x14ac:dyDescent="0.3">
      <c r="A1102" s="33" t="s">
        <v>314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1580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1.105</v>
      </c>
    </row>
    <row r="1103" spans="1:8" x14ac:dyDescent="0.3">
      <c r="A1103" s="33" t="s">
        <v>314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1580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7326800000</v>
      </c>
    </row>
    <row r="1104" spans="1:8" x14ac:dyDescent="0.3">
      <c r="A1104" s="33" t="s">
        <v>314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1580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-2642500000</v>
      </c>
    </row>
    <row r="1105" spans="1:8" x14ac:dyDescent="0.3">
      <c r="A1105" s="33" t="s">
        <v>314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1580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314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1580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314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1580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314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1580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314</v>
      </c>
      <c r="B1109" s="33">
        <f>B1108</f>
        <v>9</v>
      </c>
      <c r="C1109" s="33">
        <f t="shared" si="2172"/>
        <v>68</v>
      </c>
      <c r="E1109" s="33">
        <f t="shared" ref="E1109" si="2264">plan_id</f>
        <v>1580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314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1580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314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1580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314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1580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314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1580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317800000</v>
      </c>
    </row>
    <row r="1114" spans="1:8" x14ac:dyDescent="0.3">
      <c r="A1114" s="33" t="s">
        <v>314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1580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314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1580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314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1580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314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1580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314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1580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314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1580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314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1580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314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1580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314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1580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314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1580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20300000</v>
      </c>
    </row>
    <row r="1124" spans="1:8" x14ac:dyDescent="0.3">
      <c r="A1124" s="33" t="s">
        <v>314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1580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314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1580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314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1580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291500000</v>
      </c>
    </row>
    <row r="1127" spans="1:8" x14ac:dyDescent="0.3">
      <c r="A1127" s="33" t="s">
        <v>314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1580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-2790200000</v>
      </c>
    </row>
    <row r="1128" spans="1:8" x14ac:dyDescent="0.3">
      <c r="A1128" s="33" t="s">
        <v>314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1580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314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1580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314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1580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314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1580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314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1580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61400000</v>
      </c>
    </row>
    <row r="1133" spans="1:8" x14ac:dyDescent="0.3">
      <c r="A1133" s="33" t="s">
        <v>314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1580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240800000</v>
      </c>
    </row>
    <row r="1134" spans="1:8" x14ac:dyDescent="0.3">
      <c r="A1134" s="33" t="s">
        <v>314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1580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314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1580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33" t="s">
        <v>314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1580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Mercer</v>
      </c>
    </row>
    <row r="1137" spans="1:8" x14ac:dyDescent="0.3">
      <c r="A1137" s="33" t="s">
        <v>314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1580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314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1580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Tier 1/Tier 2 (Pre-Rate &amp; Post Rate Collar): 6.19%;  OPSRP: 6.05%</v>
      </c>
    </row>
    <row r="1139" spans="1:8" x14ac:dyDescent="0.3">
      <c r="A1139" s="33" t="s">
        <v>314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1580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Tier 1/Tier 2 (Pre-Rate &amp; Post Rate Collar): 0.02%</v>
      </c>
    </row>
    <row r="1140" spans="1:8" x14ac:dyDescent="0.3">
      <c r="A1140" s="33" t="s">
        <v>314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1580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314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1580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Tier 1/Tier 2 (Pre-Rate &amp; Post Rate Collar):5.94%; OPSRP: -0.08%</v>
      </c>
    </row>
    <row r="1142" spans="1:8" x14ac:dyDescent="0.3">
      <c r="A1142" s="33" t="s">
        <v>314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1580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Tier 1/Tier 2 (Pre-Rate &amp; Post Rate Collar):5.94%; OPSRP: -0.08%</v>
      </c>
    </row>
    <row r="1143" spans="1:8" x14ac:dyDescent="0.3">
      <c r="A1143" s="33" t="s">
        <v>314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1580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314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1580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798300000</v>
      </c>
    </row>
    <row r="1145" spans="1:8" x14ac:dyDescent="0.3">
      <c r="A1145" s="33" t="s">
        <v>314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1580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16200000</v>
      </c>
    </row>
    <row r="1146" spans="1:8" x14ac:dyDescent="0.3">
      <c r="A1146" s="33" t="s">
        <v>314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1580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314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1580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314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1580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314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1580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314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1580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Tier 1/Tier 2 (Pre-Rate &amp; Post Rate Collar): 12.13%; OPSRP: 5.97%</v>
      </c>
    </row>
    <row r="1151" spans="1:8" x14ac:dyDescent="0.3">
      <c r="A1151" s="33" t="s">
        <v>314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1580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Judges:7%, All Others: None</v>
      </c>
    </row>
    <row r="1152" spans="1:8" x14ac:dyDescent="0.3">
      <c r="A1152" s="33" t="s">
        <v>314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1580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314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1580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314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1580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314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1580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 1&amp;2: 1.00% - 3.75%, Based on membership; OPSRP: FAS times Yrs of CS attributable to fire and police times 1.8%+ all other years of retirement credit times 1.5%</v>
      </c>
    </row>
    <row r="1156" spans="1:8" x14ac:dyDescent="0.3">
      <c r="A1156" s="33" t="s">
        <v>314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1580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3" t="s">
        <v>314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1580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314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1580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314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1580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314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1580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2% of previous years benefits</v>
      </c>
    </row>
    <row r="1161" spans="1:8" x14ac:dyDescent="0.3">
      <c r="A1161" s="33" t="s">
        <v>314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1580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314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1580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314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1580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314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1580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3" t="s">
        <v>314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1580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314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1580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3" t="s">
        <v>314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1580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314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1580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2.75E-2</v>
      </c>
    </row>
    <row r="1169" spans="1:8" x14ac:dyDescent="0.3">
      <c r="A1169" s="33" t="s">
        <v>314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1580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3" t="s">
        <v>314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1580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">
      <c r="A1171" s="33" t="s">
        <v>314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1580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Salary increase: 0% to 2.55%</v>
      </c>
    </row>
    <row r="1172" spans="1:8" x14ac:dyDescent="0.3">
      <c r="A1172" s="33" t="s">
        <v>314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1580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92-93</v>
      </c>
    </row>
    <row r="1173" spans="1:8" x14ac:dyDescent="0.3">
      <c r="A1173" s="33" t="s">
        <v>314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1580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90-91</v>
      </c>
    </row>
    <row r="1174" spans="1:8" x14ac:dyDescent="0.3">
      <c r="A1174" s="33" t="s">
        <v>314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1580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</v>
      </c>
    </row>
    <row r="1175" spans="1:8" x14ac:dyDescent="0.3">
      <c r="A1175" s="33" t="s">
        <v>314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1580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3" t="s">
        <v>314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1580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314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1580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School District Male&amp;Female: 3yrs; Other General Service Male, Beneficiary Male: 2yrs, Other female and Beneficiary Female: 1.5yrs; Police &amp; Fire Male: 1yr</v>
      </c>
    </row>
    <row r="1178" spans="1:8" x14ac:dyDescent="0.3">
      <c r="A1178" s="33" t="s">
        <v>314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1580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314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1580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33" t="s">
        <v>314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1580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Tier 1/ Tier2: 20 years; OPSRP Benefits: 16 years</v>
      </c>
    </row>
    <row r="1181" spans="1:8" x14ac:dyDescent="0.3">
      <c r="A1181" s="33" t="s">
        <v>314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1580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3" t="s">
        <v>314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1580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3" t="s">
        <v>314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1580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3" t="s">
        <v>314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1580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3" t="s">
        <v>314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1580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314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1580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3" t="s">
        <v>314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1580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3" t="s">
        <v>314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1580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7.1751563090535514E-4</v>
      </c>
    </row>
    <row r="1189" spans="1:8" x14ac:dyDescent="0.3">
      <c r="A1189" s="33" t="s">
        <v>314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1580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3" t="s">
        <v>314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1580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59327800000</v>
      </c>
    </row>
    <row r="1191" spans="1:8" x14ac:dyDescent="0.3">
      <c r="A1191" s="33" t="s">
        <v>314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1580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52871200000</v>
      </c>
    </row>
    <row r="1192" spans="1:8" x14ac:dyDescent="0.3">
      <c r="A1192" s="33" t="s">
        <v>314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1580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-6456700000</v>
      </c>
    </row>
    <row r="1193" spans="1:8" x14ac:dyDescent="0.3">
      <c r="A1193" s="33" t="s">
        <v>314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1580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1.1220000000000001</v>
      </c>
    </row>
    <row r="1194" spans="1:8" x14ac:dyDescent="0.3">
      <c r="A1194" s="33" t="s">
        <v>314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1580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7721800000</v>
      </c>
    </row>
    <row r="1195" spans="1:8" x14ac:dyDescent="0.3">
      <c r="A1195" s="33" t="s">
        <v>314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1580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-324000000</v>
      </c>
    </row>
    <row r="1196" spans="1:8" x14ac:dyDescent="0.3">
      <c r="A1196" s="33" t="s">
        <v>314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1580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314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1580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314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1580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314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1580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314</v>
      </c>
      <c r="B1200" s="33">
        <f>B1199</f>
        <v>10</v>
      </c>
      <c r="C1200" s="33">
        <f t="shared" si="2434"/>
        <v>68</v>
      </c>
      <c r="E1200" s="33">
        <f t="shared" ref="E1200" si="2452">plan_id</f>
        <v>1580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314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1580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314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1580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314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1580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314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1580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-119600000</v>
      </c>
    </row>
    <row r="1205" spans="1:8" x14ac:dyDescent="0.3">
      <c r="A1205" s="33" t="s">
        <v>314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1580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314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1580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314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1580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314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1580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314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1580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314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1580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314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1580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314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1580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314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1580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314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1580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269100000</v>
      </c>
    </row>
    <row r="1215" spans="1:8" x14ac:dyDescent="0.3">
      <c r="A1215" s="33" t="s">
        <v>314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1580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314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1580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314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1580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335000000</v>
      </c>
    </row>
    <row r="1218" spans="1:8" x14ac:dyDescent="0.3">
      <c r="A1218" s="33" t="s">
        <v>314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1580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-550900000.00000012</v>
      </c>
    </row>
    <row r="1219" spans="1:8" x14ac:dyDescent="0.3">
      <c r="A1219" s="33" t="s">
        <v>314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1580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314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1580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314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1580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314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1580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314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1580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314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1580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44300000</v>
      </c>
    </row>
    <row r="1225" spans="1:8" x14ac:dyDescent="0.3">
      <c r="A1225" s="33" t="s">
        <v>314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1580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314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1580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314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1580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spans="1:8" x14ac:dyDescent="0.3">
      <c r="A1228" s="33" t="s">
        <v>314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1580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314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1580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Tier 1/Tier 2 (Pre-Rate &amp; Post Rate Collar): 7.96%; OPSRP - Pre-Rate &amp; Post Rate Collar: 6.16%</v>
      </c>
    </row>
    <row r="1230" spans="1:8" x14ac:dyDescent="0.3">
      <c r="A1230" s="33" t="s">
        <v>314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1580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Tier 1/Tier 2 (Pre-Rate &amp; Post Rate Collar): 0.02%</v>
      </c>
    </row>
    <row r="1231" spans="1:8" x14ac:dyDescent="0.3">
      <c r="A1231" s="33" t="s">
        <v>314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1580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314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1580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Tier 1/Tier 2 - Pre-Rate Collar:14.22%, Post Rate Collar: 10.13%; OPSRP - Pre-Rate &amp; Post Rate Collar: 0.07%</v>
      </c>
    </row>
    <row r="1233" spans="1:8" x14ac:dyDescent="0.3">
      <c r="A1233" s="33" t="s">
        <v>314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1580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Tier 1/Tier 2 - Pre-Rate Collar:14.22%, Post Rate Collar: 10.13%; OPSRP - Pre-Rate &amp; Post Rate Collar: 0.07%</v>
      </c>
    </row>
    <row r="1234" spans="1:8" x14ac:dyDescent="0.3">
      <c r="A1234" s="33" t="s">
        <v>314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1580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314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1580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676400000</v>
      </c>
    </row>
    <row r="1236" spans="1:8" x14ac:dyDescent="0.3">
      <c r="A1236" s="33" t="s">
        <v>314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1580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7300000</v>
      </c>
    </row>
    <row r="1237" spans="1:8" x14ac:dyDescent="0.3">
      <c r="A1237" s="33" t="s">
        <v>314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1580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314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1580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314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1580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314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1580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314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1580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Tier 1/Tier 2 - Pre-Rate Collar: 22.18%, Post Rate Collar: 18.09%; OPSRP - Pre-Rate &amp; Post Rate Collar: 6.23%</v>
      </c>
    </row>
    <row r="1242" spans="1:8" x14ac:dyDescent="0.3">
      <c r="A1242" s="33" t="s">
        <v>314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1580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Judges:7%, All Others: None</v>
      </c>
    </row>
    <row r="1243" spans="1:8" x14ac:dyDescent="0.3">
      <c r="A1243" s="33" t="s">
        <v>314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1580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314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1580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314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1580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314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1580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 1&amp;2: 1.00% - 3.75%, Based on membership; OPSRP: FAS times Yrs of CS attributable to fire and police times 1.8%+ all other years of retirement credit times 1.5%</v>
      </c>
    </row>
    <row r="1247" spans="1:8" x14ac:dyDescent="0.3">
      <c r="A1247" s="33" t="s">
        <v>314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1580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3" t="s">
        <v>314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1580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3" t="s">
        <v>314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1580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314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1580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314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1580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2% of previous years benefits</v>
      </c>
    </row>
    <row r="1252" spans="1:8" x14ac:dyDescent="0.3">
      <c r="A1252" s="33" t="s">
        <v>314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1580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314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1580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314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1580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314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1580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3" t="s">
        <v>314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1580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314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1580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3" t="s">
        <v>314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1580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314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1580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2.75E-2</v>
      </c>
    </row>
    <row r="1260" spans="1:8" x14ac:dyDescent="0.3">
      <c r="A1260" s="33" t="s">
        <v>314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1580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3" t="s">
        <v>314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1580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">
      <c r="A1262" s="33" t="s">
        <v>314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1580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Salary increase: 0.13% to 2.55%</v>
      </c>
    </row>
    <row r="1263" spans="1:8" x14ac:dyDescent="0.3">
      <c r="A1263" s="33" t="s">
        <v>314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1580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92-93</v>
      </c>
    </row>
    <row r="1264" spans="1:8" x14ac:dyDescent="0.3">
      <c r="A1264" s="33" t="s">
        <v>314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1580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90-91</v>
      </c>
    </row>
    <row r="1265" spans="1:8" x14ac:dyDescent="0.3">
      <c r="A1265" s="33" t="s">
        <v>314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1580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</v>
      </c>
    </row>
    <row r="1266" spans="1:8" x14ac:dyDescent="0.3">
      <c r="A1266" s="33" t="s">
        <v>314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1580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3" t="s">
        <v>314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1580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314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1580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School district male: 1yr, School disctrict female: 1.5yrs</v>
      </c>
    </row>
    <row r="1269" spans="1:8" x14ac:dyDescent="0.3">
      <c r="A1269" s="33" t="s">
        <v>314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1580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314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1580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33" t="s">
        <v>314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1580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Tier 1/ Tier2: 20 years; OPSRP Benefits: 16 years</v>
      </c>
    </row>
    <row r="1272" spans="1:8" x14ac:dyDescent="0.3">
      <c r="A1272" s="33" t="s">
        <v>314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1580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3" t="s">
        <v>314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1580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3" t="s">
        <v>314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1580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3" t="s">
        <v>314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1580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3" t="s">
        <v>314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1580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314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1580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3" t="s">
        <v>314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1580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3" t="s">
        <v>314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1580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7.5444880176535865E-4</v>
      </c>
    </row>
    <row r="1280" spans="1:8" x14ac:dyDescent="0.3">
      <c r="A1280" s="33" t="s">
        <v>314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1580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3" t="s">
        <v>314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1580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43520600000</v>
      </c>
    </row>
    <row r="1282" spans="1:8" x14ac:dyDescent="0.3">
      <c r="A1282" s="33" t="s">
        <v>314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1580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54259500000</v>
      </c>
    </row>
    <row r="1283" spans="1:8" x14ac:dyDescent="0.3">
      <c r="A1283" s="33" t="s">
        <v>314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1580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10738900000</v>
      </c>
    </row>
    <row r="1284" spans="1:8" x14ac:dyDescent="0.3">
      <c r="A1284" s="33" t="s">
        <v>314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1580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0.80200000000000005</v>
      </c>
    </row>
    <row r="1285" spans="1:8" x14ac:dyDescent="0.3">
      <c r="A1285" s="33" t="s">
        <v>314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1580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8130100000</v>
      </c>
    </row>
    <row r="1286" spans="1:8" x14ac:dyDescent="0.3">
      <c r="A1286" s="33" t="s">
        <v>314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1580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15749900000</v>
      </c>
    </row>
    <row r="1287" spans="1:8" x14ac:dyDescent="0.3">
      <c r="A1287" s="33" t="s">
        <v>314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1580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314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1580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314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1580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314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1580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314</v>
      </c>
      <c r="B1291" s="33">
        <f>B1290</f>
        <v>11</v>
      </c>
      <c r="C1291" s="33">
        <f t="shared" si="2567"/>
        <v>68</v>
      </c>
      <c r="E1291" s="33">
        <f t="shared" ref="E1291" si="2639">plan_id</f>
        <v>1580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314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1580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314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1580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314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1580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314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1580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-701200000</v>
      </c>
    </row>
    <row r="1296" spans="1:8" x14ac:dyDescent="0.3">
      <c r="A1296" s="33" t="s">
        <v>314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1580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314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1580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314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1580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314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1580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314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1580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314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1580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314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1580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314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1580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314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1580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314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1580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491400000</v>
      </c>
    </row>
    <row r="1306" spans="1:8" x14ac:dyDescent="0.3">
      <c r="A1306" s="33" t="s">
        <v>314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1580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314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1580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314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1580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86700000</v>
      </c>
    </row>
    <row r="1309" spans="1:8" x14ac:dyDescent="0.3">
      <c r="A1309" s="33" t="s">
        <v>314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1580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14671900000</v>
      </c>
    </row>
    <row r="1310" spans="1:8" x14ac:dyDescent="0.3">
      <c r="A1310" s="33" t="s">
        <v>314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1580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314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1580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314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1580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314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1580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314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1580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286100000</v>
      </c>
    </row>
    <row r="1315" spans="1:8" x14ac:dyDescent="0.3">
      <c r="A1315" s="33" t="s">
        <v>314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1580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-3000000</v>
      </c>
    </row>
    <row r="1316" spans="1:8" x14ac:dyDescent="0.3">
      <c r="A1316" s="33" t="s">
        <v>314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1580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314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1580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33" t="s">
        <v>314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1580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33" t="s">
        <v>314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1580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314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1580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Tier 1/Tier 2 (Pre-Rate &amp; Post Rate Collar): 8.70%; OPSRP - Pre-Rate &amp; Post Rate Collar: 6.40%</v>
      </c>
    </row>
    <row r="1321" spans="1:8" x14ac:dyDescent="0.3">
      <c r="A1321" s="33" t="s">
        <v>314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1580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Tier 1/Tier 2 (Pre-Rate &amp; Post Rate Collar): 0.02%</v>
      </c>
    </row>
    <row r="1322" spans="1:8" x14ac:dyDescent="0.3">
      <c r="A1322" s="33" t="s">
        <v>314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1580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314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1580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Tier 1/Tier 2 - Pre-Rate Collar:11.55%, Post Rate Collar: 7.57%; OPSRP - Pre-Rate &amp; Post Rate Collar: 0.08%</v>
      </c>
    </row>
    <row r="1324" spans="1:8" x14ac:dyDescent="0.3">
      <c r="A1324" s="33" t="s">
        <v>314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1580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Tier 1/Tier 2 - Pre-Rate Collar:11.55%, Post Rate Collar: 7.57%; OPSRP - Pre-Rate &amp; Post Rate Collar: 0.08%</v>
      </c>
    </row>
    <row r="1325" spans="1:8" x14ac:dyDescent="0.3">
      <c r="A1325" s="33" t="s">
        <v>314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1580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314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1580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600200000</v>
      </c>
    </row>
    <row r="1327" spans="1:8" x14ac:dyDescent="0.3">
      <c r="A1327" s="33" t="s">
        <v>314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1580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11200000</v>
      </c>
    </row>
    <row r="1328" spans="1:8" x14ac:dyDescent="0.3">
      <c r="A1328" s="33" t="s">
        <v>314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1580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314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1580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314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1580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314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1580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314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1580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Tier 1/Tier 2 - Pre-Rate Collar: 20.25%, Post Rate Collar: 16.27%; OPSRP - Pre-Rate &amp; Post Rate Collar: 6.48%</v>
      </c>
    </row>
    <row r="1333" spans="1:8" x14ac:dyDescent="0.3">
      <c r="A1333" s="33" t="s">
        <v>314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1580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Judges:7%, All Others: None</v>
      </c>
    </row>
    <row r="1334" spans="1:8" x14ac:dyDescent="0.3">
      <c r="A1334" s="33" t="s">
        <v>314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1580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3" t="s">
        <v>314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1580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314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1580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314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1580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Tier 1&amp;2: 1.00% - 3.75%, Based on membership; OPSRP: FAS times Yrs of CS attributable to fire and police times 1.8%+ all other years of retirement credit times 1.5%</v>
      </c>
    </row>
    <row r="1338" spans="1:8" x14ac:dyDescent="0.3">
      <c r="A1338" s="33" t="s">
        <v>314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1580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3" t="s">
        <v>314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1580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314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1580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314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1580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314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1580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2% of previous years benefits</v>
      </c>
    </row>
    <row r="1343" spans="1:8" x14ac:dyDescent="0.3">
      <c r="A1343" s="33" t="s">
        <v>314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1580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314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1580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314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1580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314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1580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3" t="s">
        <v>314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1580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314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1580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3" t="s">
        <v>314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1580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314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1580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2.75E-2</v>
      </c>
    </row>
    <row r="1351" spans="1:8" x14ac:dyDescent="0.3">
      <c r="A1351" s="33" t="s">
        <v>314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1580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3" t="s">
        <v>314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1580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">
      <c r="A1353" s="33" t="s">
        <v>314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1580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Salary increase: 0.13% to 2.55%</v>
      </c>
    </row>
    <row r="1354" spans="1:8" x14ac:dyDescent="0.3">
      <c r="A1354" s="33" t="s">
        <v>314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1580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103-104</v>
      </c>
    </row>
    <row r="1355" spans="1:8" x14ac:dyDescent="0.3">
      <c r="A1355" s="33" t="s">
        <v>314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1580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101-102</v>
      </c>
    </row>
    <row r="1356" spans="1:8" x14ac:dyDescent="0.3">
      <c r="A1356" s="33" t="s">
        <v>314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1580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</v>
      </c>
    </row>
    <row r="1357" spans="1:8" x14ac:dyDescent="0.3">
      <c r="A1357" s="33" t="s">
        <v>314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1580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3" t="s">
        <v>314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1580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314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1580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School district male: 1yr, School disctrict female: 1.5yrs</v>
      </c>
    </row>
    <row r="1360" spans="1:8" x14ac:dyDescent="0.3">
      <c r="A1360" s="33" t="s">
        <v>314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1580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314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1580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33" t="s">
        <v>314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1580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Tier 1/ Tier2: 20 years; OPSRP Benefits: 16 years</v>
      </c>
    </row>
    <row r="1363" spans="1:8" x14ac:dyDescent="0.3">
      <c r="A1363" s="33" t="s">
        <v>314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1580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33" t="s">
        <v>314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1580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3" t="s">
        <v>314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1580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3" t="s">
        <v>314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1580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3" t="s">
        <v>314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1580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314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1580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3" t="s">
        <v>314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1580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3" t="s">
        <v>314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1580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7.3232409918414518E-4</v>
      </c>
    </row>
    <row r="1371" spans="1:8" x14ac:dyDescent="0.3">
      <c r="A1371" s="33" t="s">
        <v>314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1580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3" t="s">
        <v>314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1580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48729200000</v>
      </c>
    </row>
    <row r="1373" spans="1:8" x14ac:dyDescent="0.3">
      <c r="A1373" s="33" t="s">
        <v>314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1580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56810600000</v>
      </c>
    </row>
    <row r="1374" spans="1:8" x14ac:dyDescent="0.3">
      <c r="A1374" s="33" t="s">
        <v>314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1580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8081400000</v>
      </c>
    </row>
    <row r="1375" spans="1:8" x14ac:dyDescent="0.3">
      <c r="A1375" s="33" t="s">
        <v>314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1580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0.85799999999999998</v>
      </c>
    </row>
    <row r="1376" spans="1:8" x14ac:dyDescent="0.3">
      <c r="A1376" s="33" t="s">
        <v>314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1580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8512200000.000001</v>
      </c>
    </row>
    <row r="1377" spans="1:8" x14ac:dyDescent="0.3">
      <c r="A1377" s="33" t="s">
        <v>314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1580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-3594800000</v>
      </c>
    </row>
    <row r="1378" spans="1:8" x14ac:dyDescent="0.3">
      <c r="A1378" s="33" t="s">
        <v>314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1580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314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1580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314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1580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314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1580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314</v>
      </c>
      <c r="B1382" s="33">
        <f>B1381</f>
        <v>12</v>
      </c>
      <c r="C1382" s="33">
        <f t="shared" si="2700"/>
        <v>68</v>
      </c>
      <c r="E1382" s="33">
        <f t="shared" ref="E1382" si="2826">plan_id</f>
        <v>1580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314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1580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314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1580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314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1580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314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1580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517000000</v>
      </c>
    </row>
    <row r="1387" spans="1:8" x14ac:dyDescent="0.3">
      <c r="A1387" s="33" t="s">
        <v>314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1580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314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1580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314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1580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314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1580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314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1580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314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1580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314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1580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314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1580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314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1580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314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1580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1792600000</v>
      </c>
    </row>
    <row r="1397" spans="1:8" x14ac:dyDescent="0.3">
      <c r="A1397" s="33" t="s">
        <v>314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1580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314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1580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314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1580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117400000</v>
      </c>
    </row>
    <row r="1400" spans="1:8" x14ac:dyDescent="0.3">
      <c r="A1400" s="33" t="s">
        <v>314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1580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-2301700000.0000005</v>
      </c>
    </row>
    <row r="1401" spans="1:8" x14ac:dyDescent="0.3">
      <c r="A1401" s="33" t="s">
        <v>314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1580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314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1580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314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1580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314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1580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314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1580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2500000</v>
      </c>
    </row>
    <row r="1406" spans="1:8" x14ac:dyDescent="0.3">
      <c r="A1406" s="33" t="s">
        <v>314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1580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10300000</v>
      </c>
    </row>
    <row r="1407" spans="1:8" x14ac:dyDescent="0.3">
      <c r="A1407" s="33" t="s">
        <v>314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1580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314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1580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3" t="s">
        <v>314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1580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33" t="s">
        <v>314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1580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314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1580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Tier 1/Tier 2 (Pre-Rate &amp; Post Rate Collar): 8.82%; OPSRP - Pre-Rate &amp; Post Rate Collar: 6.35%</v>
      </c>
    </row>
    <row r="1412" spans="1:8" x14ac:dyDescent="0.3">
      <c r="A1412" s="33" t="s">
        <v>314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1580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Tier 1/Tier 2 (Pre-Rate &amp; Post Rate Collar): 0.02%</v>
      </c>
    </row>
    <row r="1413" spans="1:8" x14ac:dyDescent="0.3">
      <c r="A1413" s="33" t="s">
        <v>314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1580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314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1580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Tier 1/Tier 2 - Pre-Rate Collar:11.39%, Post Rate Collar: 11.01%; OPSRP - Pre-Rate &amp; Post Rate Collar: 0.10%</v>
      </c>
    </row>
    <row r="1415" spans="1:8" x14ac:dyDescent="0.3">
      <c r="A1415" s="33" t="s">
        <v>314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1580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Tier 1/Tier 2 - Pre-Rate Collar:11.39%, Post Rate Collar: 11.01%; OPSRP - Pre-Rate &amp; Post Rate Collar: 0.10%</v>
      </c>
    </row>
    <row r="1416" spans="1:8" x14ac:dyDescent="0.3">
      <c r="A1416" s="33" t="s">
        <v>314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1580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314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1580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449500000</v>
      </c>
    </row>
    <row r="1418" spans="1:8" x14ac:dyDescent="0.3">
      <c r="A1418" s="33" t="s">
        <v>314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1580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14300000</v>
      </c>
    </row>
    <row r="1419" spans="1:8" x14ac:dyDescent="0.3">
      <c r="A1419" s="33" t="s">
        <v>314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1580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314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1580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314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1580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314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1580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314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1580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Tier 1/Tier 2 - Pre-Rate Collar: 20.21%, Post Rate Collar: 19.83%; OPSRP - Pre-Rate &amp; Post Rate Collar: 6.45%</v>
      </c>
    </row>
    <row r="1424" spans="1:8" x14ac:dyDescent="0.3">
      <c r="A1424" s="33" t="s">
        <v>314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1580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Judges:7%, All Others: None</v>
      </c>
    </row>
    <row r="1425" spans="1:8" x14ac:dyDescent="0.3">
      <c r="A1425" s="33" t="s">
        <v>314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1580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314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1580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314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1580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314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1580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 1&amp;2: 1.00% - 3.75%, Based on membership; OPSRP: FAS times Yrs of CS attributable to fire and police times 1.8%+ all other years of retirement credit times 1.5%</v>
      </c>
    </row>
    <row r="1429" spans="1:8" x14ac:dyDescent="0.3">
      <c r="A1429" s="33" t="s">
        <v>314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1580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3" t="s">
        <v>314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1580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3" t="s">
        <v>314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1580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314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1580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314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1580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2% of previous years benefits</v>
      </c>
    </row>
    <row r="1434" spans="1:8" x14ac:dyDescent="0.3">
      <c r="A1434" s="33" t="s">
        <v>314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1580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314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1580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314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1580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314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1580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3" t="s">
        <v>314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1580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314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1580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3" t="s">
        <v>314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1580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314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1580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2.75E-2</v>
      </c>
    </row>
    <row r="1442" spans="1:8" x14ac:dyDescent="0.3">
      <c r="A1442" s="33" t="s">
        <v>314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1580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3" t="s">
        <v>314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1580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33" t="s">
        <v>314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1580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Salary increase: -0.18% to 2.55%</v>
      </c>
    </row>
    <row r="1445" spans="1:8" x14ac:dyDescent="0.3">
      <c r="A1445" s="33" t="s">
        <v>314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1580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99</v>
      </c>
    </row>
    <row r="1446" spans="1:8" x14ac:dyDescent="0.3">
      <c r="A1446" s="33" t="s">
        <v>314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1580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97-98</v>
      </c>
    </row>
    <row r="1447" spans="1:8" x14ac:dyDescent="0.3">
      <c r="A1447" s="33" t="s">
        <v>314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1580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</v>
      </c>
    </row>
    <row r="1448" spans="1:8" x14ac:dyDescent="0.3">
      <c r="A1448" s="33" t="s">
        <v>314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1580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3" t="s">
        <v>314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1580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314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1580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School District male: 1.5yrs, Other General Service male: 1yr, School District female: 2yrs</v>
      </c>
    </row>
    <row r="1451" spans="1:8" x14ac:dyDescent="0.3">
      <c r="A1451" s="33" t="s">
        <v>314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1580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314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1580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33" t="s">
        <v>314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1580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Tier 1/ Tier2: 20 years; OPSRP Benefits: 16 years</v>
      </c>
    </row>
    <row r="1454" spans="1:8" x14ac:dyDescent="0.3">
      <c r="A1454" s="33" t="s">
        <v>314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1580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3" t="s">
        <v>314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1580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3" t="s">
        <v>314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1580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3" t="s">
        <v>314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1580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3" t="s">
        <v>314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1580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3" t="s">
        <v>314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1580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3" t="s">
        <v>314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1580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3" t="s">
        <v>314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1580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6.1949235923697407E-4</v>
      </c>
    </row>
    <row r="1462" spans="1:8" x14ac:dyDescent="0.3">
      <c r="A1462" s="33" t="s">
        <v>314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1580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3" t="s">
        <v>314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1580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51583500000</v>
      </c>
    </row>
    <row r="1464" spans="1:8" x14ac:dyDescent="0.3">
      <c r="A1464" s="33" t="s">
        <v>314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1580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59329500000</v>
      </c>
    </row>
    <row r="1465" spans="1:8" x14ac:dyDescent="0.3">
      <c r="A1465" s="33" t="s">
        <v>314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1580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7746000000</v>
      </c>
    </row>
    <row r="1466" spans="1:8" x14ac:dyDescent="0.3">
      <c r="A1466" s="33" t="s">
        <v>314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1580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0.86899999999999999</v>
      </c>
    </row>
    <row r="1467" spans="1:8" x14ac:dyDescent="0.3">
      <c r="A1467" s="33" t="s">
        <v>314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1580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8750100000</v>
      </c>
    </row>
    <row r="1468" spans="1:8" x14ac:dyDescent="0.3">
      <c r="A1468" s="33" t="s">
        <v>314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1580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-1470400000</v>
      </c>
    </row>
    <row r="1469" spans="1:8" x14ac:dyDescent="0.3">
      <c r="A1469" s="33" t="s">
        <v>314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1580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314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1580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314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1580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314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1580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314</v>
      </c>
      <c r="B1473" s="33">
        <f>B1472</f>
        <v>13</v>
      </c>
      <c r="C1473" s="33">
        <f t="shared" si="2962"/>
        <v>68</v>
      </c>
      <c r="E1473" s="33">
        <f t="shared" ref="E1473" si="3014">plan_id</f>
        <v>1580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314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1580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314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1580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314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1580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314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1580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226700000</v>
      </c>
    </row>
    <row r="1478" spans="1:8" x14ac:dyDescent="0.3">
      <c r="A1478" s="33" t="s">
        <v>314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1580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314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1580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314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1580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314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1580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314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1580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314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1580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314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1580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314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1580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314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1580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314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1580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1634300000</v>
      </c>
    </row>
    <row r="1488" spans="1:8" x14ac:dyDescent="0.3">
      <c r="A1488" s="33" t="s">
        <v>314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1580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314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1580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314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1580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152400000</v>
      </c>
    </row>
    <row r="1491" spans="1:8" x14ac:dyDescent="0.3">
      <c r="A1491" s="33" t="s">
        <v>314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1580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-246600000.00000036</v>
      </c>
    </row>
    <row r="1492" spans="1:8" x14ac:dyDescent="0.3">
      <c r="A1492" s="33" t="s">
        <v>314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1580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314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1580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314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1580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314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1580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314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1580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217300000</v>
      </c>
    </row>
    <row r="1497" spans="1:8" x14ac:dyDescent="0.3">
      <c r="A1497" s="33" t="s">
        <v>314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1580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13500000</v>
      </c>
    </row>
    <row r="1498" spans="1:8" x14ac:dyDescent="0.3">
      <c r="A1498" s="33" t="s">
        <v>314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1580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314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1580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33" t="s">
        <v>314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1580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Milliman</v>
      </c>
    </row>
    <row r="1501" spans="1:8" x14ac:dyDescent="0.3">
      <c r="A1501" s="33" t="s">
        <v>314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1580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314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1580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Tier 1/Tier 2 (Pre-Rate &amp; Post Rate Collar): 9.15%; OPSRP - Pre-Rate &amp; Post Rate Collar: 6.56%</v>
      </c>
    </row>
    <row r="1503" spans="1:8" x14ac:dyDescent="0.3">
      <c r="A1503" s="33" t="s">
        <v>314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1580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Tier 1/Tier 2 (Pre-Rate &amp; Post Rate Collar): 0.02%</v>
      </c>
    </row>
    <row r="1504" spans="1:8" x14ac:dyDescent="0.3">
      <c r="A1504" s="33" t="s">
        <v>314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1580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314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1580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Tier 1/Tier 2 - Pre-Rate Collar:14.60%, Post Rate Collar: 12.30%; OPSRP - Pre-Rate &amp; Post Rate Collar: 0.15%</v>
      </c>
    </row>
    <row r="1506" spans="1:8" x14ac:dyDescent="0.3">
      <c r="A1506" s="33" t="s">
        <v>314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1580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Tier 1/Tier 2 - Pre-Rate Collar:14.60%, Post Rate Collar: 12.30%; OPSRP - Pre-Rate &amp; Post Rate Collar: 0.15%</v>
      </c>
    </row>
    <row r="1507" spans="1:8" x14ac:dyDescent="0.3">
      <c r="A1507" s="33" t="s">
        <v>314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1580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314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1580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644200000</v>
      </c>
    </row>
    <row r="1509" spans="1:8" x14ac:dyDescent="0.3">
      <c r="A1509" s="33" t="s">
        <v>314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1580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15800000</v>
      </c>
    </row>
    <row r="1510" spans="1:8" x14ac:dyDescent="0.3">
      <c r="A1510" s="33" t="s">
        <v>314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1580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314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1580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314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1580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314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1580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314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1580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Tier 1/Tier 2 - Pre-Rate Collar: 23.75%, Post Rate Collar: 21.45%; OPSRP - Pre-Rate &amp; Post Rate Collar: 6.71%</v>
      </c>
    </row>
    <row r="1515" spans="1:8" x14ac:dyDescent="0.3">
      <c r="A1515" s="33" t="s">
        <v>314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1580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Judges:7%, All Others: None</v>
      </c>
    </row>
    <row r="1516" spans="1:8" x14ac:dyDescent="0.3">
      <c r="A1516" s="33" t="s">
        <v>314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1580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3" t="s">
        <v>314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1580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314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1580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314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1580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 1&amp;2: 1.00% - 3.75%, Based on membership; OPSRP: FAS times Yrs of CS attributable to fire and police times 1.8%+ all other years of retirement credit times 1.5%</v>
      </c>
    </row>
    <row r="1520" spans="1:8" x14ac:dyDescent="0.3">
      <c r="A1520" s="33" t="s">
        <v>314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1580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3" t="s">
        <v>314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1580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314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1580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314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1580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314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1580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2% of previous years benefits</v>
      </c>
    </row>
    <row r="1525" spans="1:8" x14ac:dyDescent="0.3">
      <c r="A1525" s="33" t="s">
        <v>314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1580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314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1580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314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1580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314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1580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3" t="s">
        <v>314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1580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314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1580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3" t="s">
        <v>314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1580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314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1580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33" t="s">
        <v>314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1580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3" t="s">
        <v>314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1580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33" t="s">
        <v>314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1580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Salary increase: -0.18% to 2.55%</v>
      </c>
    </row>
    <row r="1536" spans="1:8" x14ac:dyDescent="0.3">
      <c r="A1536" s="33" t="s">
        <v>314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1580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94</v>
      </c>
    </row>
    <row r="1537" spans="1:8" x14ac:dyDescent="0.3">
      <c r="A1537" s="33" t="s">
        <v>314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1580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92-93</v>
      </c>
    </row>
    <row r="1538" spans="1:8" x14ac:dyDescent="0.3">
      <c r="A1538" s="33" t="s">
        <v>314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1580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">
      <c r="A1539" s="33" t="s">
        <v>314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1580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3" t="s">
        <v>314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1580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314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1580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School District male: 1.5yrs, Other General Service male: 1yr, School District female: 2yrs</v>
      </c>
    </row>
    <row r="1542" spans="1:8" x14ac:dyDescent="0.3">
      <c r="A1542" s="33" t="s">
        <v>314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1580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314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1580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33" t="s">
        <v>314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1580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Tier 1/ Tier2: 20 years; OPSRP Benefits: 16 years</v>
      </c>
    </row>
    <row r="1545" spans="1:8" x14ac:dyDescent="0.3">
      <c r="A1545" s="33" t="s">
        <v>314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1580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33" t="s">
        <v>314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1580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3" t="s">
        <v>314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1580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3" t="s">
        <v>314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1580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3" t="s">
        <v>314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1580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314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1580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3" t="s">
        <v>314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1580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3" t="s">
        <v>314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1580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6.3635071452782118E-4</v>
      </c>
    </row>
    <row r="1553" spans="1:8" x14ac:dyDescent="0.3">
      <c r="A1553" s="33" t="s">
        <v>314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1580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3" t="s">
        <v>314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1580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50168200000</v>
      </c>
    </row>
    <row r="1555" spans="1:8" x14ac:dyDescent="0.3">
      <c r="A1555" s="33" t="s">
        <v>314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1580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61198400000</v>
      </c>
    </row>
    <row r="1556" spans="1:8" x14ac:dyDescent="0.3">
      <c r="A1556" s="33" t="s">
        <v>314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1580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11030200000</v>
      </c>
    </row>
    <row r="1557" spans="1:8" x14ac:dyDescent="0.3">
      <c r="A1557" s="33" t="s">
        <v>314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1580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</v>
      </c>
    </row>
    <row r="1558" spans="1:8" x14ac:dyDescent="0.3">
      <c r="A1558" s="33" t="s">
        <v>314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1580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8550500000</v>
      </c>
    </row>
    <row r="1559" spans="1:8" x14ac:dyDescent="0.3">
      <c r="A1559" s="33" t="s">
        <v>314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1580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2359200000</v>
      </c>
    </row>
    <row r="1560" spans="1:8" x14ac:dyDescent="0.3">
      <c r="A1560" s="33" t="s">
        <v>314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1580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314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1580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314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1580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314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1580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314</v>
      </c>
      <c r="B1564" s="33">
        <f>B1563</f>
        <v>14</v>
      </c>
      <c r="C1564" s="33">
        <f t="shared" si="3094"/>
        <v>68</v>
      </c>
      <c r="E1564" s="33">
        <f t="shared" ref="E1564" si="3201">plan_id</f>
        <v>1580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314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1580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314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1580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314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1580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314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1580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-94600000</v>
      </c>
    </row>
    <row r="1569" spans="1:8" x14ac:dyDescent="0.3">
      <c r="A1569" s="33" t="s">
        <v>314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1580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314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1580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314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1580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314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1580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314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1580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314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1580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314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1580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314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1580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314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1580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314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1580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1599200000</v>
      </c>
    </row>
    <row r="1579" spans="1:8" x14ac:dyDescent="0.3">
      <c r="A1579" s="33" t="s">
        <v>314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1580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314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1580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314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1580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179500000</v>
      </c>
    </row>
    <row r="1582" spans="1:8" x14ac:dyDescent="0.3">
      <c r="A1582" s="33" t="s">
        <v>314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1580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2930200000</v>
      </c>
    </row>
    <row r="1583" spans="1:8" x14ac:dyDescent="0.3">
      <c r="A1583" s="33" t="s">
        <v>314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1580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314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1580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314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1580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314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1580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314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1580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314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1580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16200000</v>
      </c>
    </row>
    <row r="1589" spans="1:8" x14ac:dyDescent="0.3">
      <c r="A1589" s="33" t="s">
        <v>314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1580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314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1580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3" t="s">
        <v>314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1580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Milliman</v>
      </c>
    </row>
    <row r="1592" spans="1:8" x14ac:dyDescent="0.3">
      <c r="A1592" s="33" t="s">
        <v>314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1580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314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1580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Tier 1/Tier 2 (Pre-Rate &amp; Post Rate Collar): 13.59%; OPSRP - Pre-Rate &amp; Post Rate Collar: 7.81%</v>
      </c>
    </row>
    <row r="1594" spans="1:8" x14ac:dyDescent="0.3">
      <c r="A1594" s="33" t="s">
        <v>314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1580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Tier 1/Tier 2 (Pre-Rate &amp; Post Rate Collar): 0.03%</v>
      </c>
    </row>
    <row r="1595" spans="1:8" x14ac:dyDescent="0.3">
      <c r="A1595" s="33" t="s">
        <v>314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1580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314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1580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Tier 1/Tier 2 - Pre-Rate Collar:8.73%, Post Rate Collar: 6.56%; OPSRP - Pre-Rate &amp; Post Rate Collar: 0.60%</v>
      </c>
    </row>
    <row r="1597" spans="1:8" x14ac:dyDescent="0.3">
      <c r="A1597" s="33" t="s">
        <v>314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1580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Tier 1/Tier 2 - Pre-Rate Collar:8.73%, Post Rate Collar: 6.56%; OPSRP - Pre-Rate &amp; Post Rate Collar: 0.60%</v>
      </c>
    </row>
    <row r="1598" spans="1:8" x14ac:dyDescent="0.3">
      <c r="A1598" s="33" t="s">
        <v>314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1580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314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1580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928700000</v>
      </c>
    </row>
    <row r="1600" spans="1:8" x14ac:dyDescent="0.3">
      <c r="A1600" s="33" t="s">
        <v>314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1580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14100000</v>
      </c>
    </row>
    <row r="1601" spans="1:8" x14ac:dyDescent="0.3">
      <c r="A1601" s="33" t="s">
        <v>314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1580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314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1580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314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1580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314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1580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314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1580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Tier 1/Tier 2 - Pre-Rate Collar: 22.32%, Post Rate Collar: 20.15%; OPSRP - Pre-Rate &amp; Post Rate Collar: 8.41%</v>
      </c>
    </row>
    <row r="1606" spans="1:8" x14ac:dyDescent="0.3">
      <c r="A1606" s="33" t="s">
        <v>314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1580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Judges:7%, All Others: None</v>
      </c>
    </row>
    <row r="1607" spans="1:8" x14ac:dyDescent="0.3">
      <c r="A1607" s="33" t="s">
        <v>314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1580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314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1580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314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1580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314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1580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 1&amp;2: 1.00% - 3.75%, Based on membership; OPSRP: FAS times Yrs of CS attributable to fire and police times 1.8%+ all other years of retirement credit times 1.5%</v>
      </c>
    </row>
    <row r="1611" spans="1:8" x14ac:dyDescent="0.3">
      <c r="A1611" s="33" t="s">
        <v>314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1580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3" t="s">
        <v>314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1580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3" t="s">
        <v>314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1580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Post- 2013: 1.25% on the first $60,000 of annual benefit and 0.15% on amounts above $60,000 of annual benefit.</v>
      </c>
    </row>
    <row r="1614" spans="1:8" x14ac:dyDescent="0.3">
      <c r="A1614" s="33" t="s">
        <v>314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1580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314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1580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Pre-2014: 2% of the previous year's benefit, except for 2013 when the adjustment is limited to 1.5%.</v>
      </c>
    </row>
    <row r="1616" spans="1:8" x14ac:dyDescent="0.3">
      <c r="A1616" s="33" t="s">
        <v>314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1580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314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1580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314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1580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314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1580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3" t="s">
        <v>314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1580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314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1580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3" t="s">
        <v>314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1580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314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1580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33" t="s">
        <v>314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1580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33" t="s">
        <v>314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1580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33" t="s">
        <v>314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1580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Salary increase: -1% to 5.13%</v>
      </c>
    </row>
    <row r="1627" spans="1:8" x14ac:dyDescent="0.3">
      <c r="A1627" s="33" t="s">
        <v>314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1580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95</v>
      </c>
    </row>
    <row r="1628" spans="1:8" x14ac:dyDescent="0.3">
      <c r="A1628" s="33" t="s">
        <v>314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1580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93-94</v>
      </c>
    </row>
    <row r="1629" spans="1:8" x14ac:dyDescent="0.3">
      <c r="A1629" s="33" t="s">
        <v>314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1580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</v>
      </c>
    </row>
    <row r="1630" spans="1:8" x14ac:dyDescent="0.3">
      <c r="A1630" s="33" t="s">
        <v>314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1580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3" t="s">
        <v>314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1580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3" t="s">
        <v>314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1580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School District male: 2yrs, Other General Service male: 1yr, Police &amp; Fire male: 1yr; School District female: 2yrs</v>
      </c>
    </row>
    <row r="1633" spans="1:8" x14ac:dyDescent="0.3">
      <c r="A1633" s="33" t="s">
        <v>314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1580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314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1580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33" t="s">
        <v>314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1580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Tier 1/ Tier2: 20 years; OPSRP Benefits: 16 years</v>
      </c>
    </row>
    <row r="1636" spans="1:8" x14ac:dyDescent="0.3">
      <c r="A1636" s="33" t="s">
        <v>314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1580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3" t="s">
        <v>314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1580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33" t="s">
        <v>314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1580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3" t="s">
        <v>314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1580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33" t="s">
        <v>314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1580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3" t="s">
        <v>314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1580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3" t="s">
        <v>314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1580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3" t="s">
        <v>314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1580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6.3778204754192356E-4</v>
      </c>
    </row>
    <row r="1644" spans="1:8" x14ac:dyDescent="0.3">
      <c r="A1644" s="33" t="s">
        <v>314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1580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3" t="s">
        <v>314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1580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54784100000</v>
      </c>
    </row>
    <row r="1646" spans="1:8" x14ac:dyDescent="0.3">
      <c r="A1646" s="33" t="s">
        <v>314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1580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60405200000</v>
      </c>
    </row>
    <row r="1647" spans="1:8" x14ac:dyDescent="0.3">
      <c r="A1647" s="33" t="s">
        <v>314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1580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5621100000</v>
      </c>
    </row>
    <row r="1648" spans="1:8" x14ac:dyDescent="0.3">
      <c r="A1648" s="33" t="s">
        <v>314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1580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0.90700000000000003</v>
      </c>
    </row>
    <row r="1649" spans="1:8" x14ac:dyDescent="0.3">
      <c r="A1649" s="33" t="s">
        <v>314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1580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8590900000</v>
      </c>
    </row>
    <row r="1650" spans="1:8" x14ac:dyDescent="0.3">
      <c r="A1650" s="33" t="s">
        <v>314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1580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-354400000</v>
      </c>
    </row>
    <row r="1651" spans="1:8" x14ac:dyDescent="0.3">
      <c r="A1651" s="33" t="s">
        <v>314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1580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314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1580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314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1580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314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1580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314</v>
      </c>
      <c r="B1655" s="33">
        <f>B1654</f>
        <v>15</v>
      </c>
      <c r="C1655" s="33">
        <f t="shared" si="3357"/>
        <v>68</v>
      </c>
      <c r="E1655" s="33">
        <f t="shared" ref="E1655" si="3389">plan_id</f>
        <v>1580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314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1580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314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1580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314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1580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314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1580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-151800000</v>
      </c>
    </row>
    <row r="1660" spans="1:8" x14ac:dyDescent="0.3">
      <c r="A1660" s="33" t="s">
        <v>314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1580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314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1580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314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1580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314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1580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314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1580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314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1580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3" t="s">
        <v>314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1580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314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1580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314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1580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314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1580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1816400000</v>
      </c>
    </row>
    <row r="1670" spans="1:8" x14ac:dyDescent="0.3">
      <c r="A1670" s="33" t="s">
        <v>314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1580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314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1580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314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1580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191700000</v>
      </c>
    </row>
    <row r="1673" spans="1:8" x14ac:dyDescent="0.3">
      <c r="A1673" s="33" t="s">
        <v>314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1580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-5116099999.9999981</v>
      </c>
    </row>
    <row r="1674" spans="1:8" x14ac:dyDescent="0.3">
      <c r="A1674" s="33" t="s">
        <v>314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1580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314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1580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314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1580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314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1580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314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1580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-2779899999.9999995</v>
      </c>
    </row>
    <row r="1679" spans="1:8" x14ac:dyDescent="0.3">
      <c r="A1679" s="33" t="s">
        <v>314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1580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18400000</v>
      </c>
    </row>
    <row r="1680" spans="1:8" x14ac:dyDescent="0.3">
      <c r="A1680" s="33" t="s">
        <v>314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1580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314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1580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33" t="s">
        <v>314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1580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Milliman</v>
      </c>
    </row>
    <row r="1683" spans="1:8" x14ac:dyDescent="0.3">
      <c r="A1683" s="33" t="s">
        <v>314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1580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314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1580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Tier 1/Tier 2 (Pre-Rate &amp; Post Rate Collar): 13.34%; OPSRP - Pre-Rate &amp; Post Rate Collar: 7.79%</v>
      </c>
    </row>
    <row r="1685" spans="1:8" x14ac:dyDescent="0.3">
      <c r="A1685" s="33" t="s">
        <v>314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1580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Tier 1/Tier 2 (Pre-Rate &amp; Post Rate Collar): 0.03%</v>
      </c>
    </row>
    <row r="1686" spans="1:8" x14ac:dyDescent="0.3">
      <c r="A1686" s="33" t="s">
        <v>314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1580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314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1580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Tier 1/Tier 2 - Pre-Rate Collar:6.44%, Post Rate Collar: 5.72%; OPSRP - Pre-Rate &amp; Post Rate Collar: 0.61%</v>
      </c>
    </row>
    <row r="1688" spans="1:8" x14ac:dyDescent="0.3">
      <c r="A1688" s="33" t="s">
        <v>314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1580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Tier 1/Tier 2 - Pre-Rate Collar:6.44%, Post Rate Collar: 5.72%; OPSRP - Pre-Rate &amp; Post Rate Collar: 0.61%</v>
      </c>
    </row>
    <row r="1689" spans="1:8" x14ac:dyDescent="0.3">
      <c r="A1689" s="33" t="s">
        <v>314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1580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314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1580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1567100000</v>
      </c>
    </row>
    <row r="1691" spans="1:8" x14ac:dyDescent="0.3">
      <c r="A1691" s="33" t="s">
        <v>314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1580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18600000</v>
      </c>
    </row>
    <row r="1692" spans="1:8" x14ac:dyDescent="0.3">
      <c r="A1692" s="33" t="s">
        <v>314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1580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314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1580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314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1580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314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1580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314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1580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Tier 1/Tier 2 - Pre-Rate Collar: 19.78%, Post Rate Collar: 19.06%; OPSRP - Pre-Rate &amp; Post Rate Collar: 8.40%</v>
      </c>
    </row>
    <row r="1697" spans="1:8" x14ac:dyDescent="0.3">
      <c r="A1697" s="33" t="s">
        <v>314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1580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Judges:7%, All Others: None</v>
      </c>
    </row>
    <row r="1698" spans="1:8" x14ac:dyDescent="0.3">
      <c r="A1698" s="33" t="s">
        <v>314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1580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3" t="s">
        <v>314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1580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314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1580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314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1580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 1&amp;2: 1.00% - 3.75%, Based on membership; OPSRP: FAS times Yrs of CS attributable to fire and police times 1.8%+ all other years of retirement credit times 1.5%</v>
      </c>
    </row>
    <row r="1702" spans="1:8" x14ac:dyDescent="0.3">
      <c r="A1702" s="33" t="s">
        <v>314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1580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3" t="s">
        <v>314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1580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314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1580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Post- 2013: 1.25% on the first $60,000 of annual benefit and 0.15% on amounts above $60,000 of annual benefit.</v>
      </c>
    </row>
    <row r="1705" spans="1:8" x14ac:dyDescent="0.3">
      <c r="A1705" s="33" t="s">
        <v>314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1580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314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1580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Pre-2014: 2% of the previous year's benefit, except for 2013 when the adjustment is limited to 1.5%.</v>
      </c>
    </row>
    <row r="1707" spans="1:8" x14ac:dyDescent="0.3">
      <c r="A1707" s="33" t="s">
        <v>314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1580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314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1580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314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1580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314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1580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3" t="s">
        <v>314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1580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314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1580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3" t="s">
        <v>314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1580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314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1580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33" t="s">
        <v>314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1580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33" t="s">
        <v>314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1580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33" t="s">
        <v>314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1580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Salary increase: -1% to 5.13%</v>
      </c>
    </row>
    <row r="1718" spans="1:8" x14ac:dyDescent="0.3">
      <c r="A1718" s="33" t="s">
        <v>314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1580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98</v>
      </c>
    </row>
    <row r="1719" spans="1:8" x14ac:dyDescent="0.3">
      <c r="A1719" s="33" t="s">
        <v>314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1580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96-97</v>
      </c>
    </row>
    <row r="1720" spans="1:8" x14ac:dyDescent="0.3">
      <c r="A1720" s="33" t="s">
        <v>314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1580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</v>
      </c>
    </row>
    <row r="1721" spans="1:8" x14ac:dyDescent="0.3">
      <c r="A1721" s="33" t="s">
        <v>314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1580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3" t="s">
        <v>314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1580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3" t="s">
        <v>314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1580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School District male: 2yrs, Other General Service male: 1yr, Police &amp; Fire male: 1yr; School District female: 2yrs</v>
      </c>
    </row>
    <row r="1724" spans="1:8" x14ac:dyDescent="0.3">
      <c r="A1724" s="33" t="s">
        <v>314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1580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314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1580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33" t="s">
        <v>314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1580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Tier 1/ Tier2: 20 years; OPSRP Benefits: 16 years</v>
      </c>
    </row>
    <row r="1727" spans="1:8" x14ac:dyDescent="0.3">
      <c r="A1727" s="33" t="s">
        <v>314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1580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3" t="s">
        <v>314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1580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33" t="s">
        <v>314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1580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3" t="s">
        <v>314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1580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33" t="s">
        <v>314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1580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3" t="s">
        <v>314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1580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3" t="s">
        <v>314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1580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3" t="s">
        <v>314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1580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6.1845386533665838E-4</v>
      </c>
    </row>
    <row r="1735" spans="1:8" x14ac:dyDescent="0.3">
      <c r="A1735" s="33" t="s">
        <v>314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1580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3" t="s">
        <v>314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1580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60014100000</v>
      </c>
    </row>
    <row r="1737" spans="1:8" x14ac:dyDescent="0.3">
      <c r="A1737" s="33" t="s">
        <v>314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1580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62593600000</v>
      </c>
    </row>
    <row r="1738" spans="1:8" x14ac:dyDescent="0.3">
      <c r="A1738" s="33" t="s">
        <v>314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1580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2579500000</v>
      </c>
    </row>
    <row r="1739" spans="1:8" x14ac:dyDescent="0.3">
      <c r="A1739" s="33" t="s">
        <v>314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1580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0.95899999999999996</v>
      </c>
    </row>
    <row r="1740" spans="1:8" x14ac:dyDescent="0.3">
      <c r="A1740" s="33" t="s">
        <v>314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1580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8671800000</v>
      </c>
    </row>
    <row r="1741" spans="1:8" x14ac:dyDescent="0.3">
      <c r="A1741" s="33" t="s">
        <v>314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1580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-3500300000</v>
      </c>
    </row>
    <row r="1742" spans="1:8" x14ac:dyDescent="0.3">
      <c r="A1742" s="33" t="s">
        <v>314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1580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3" t="s">
        <v>314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1580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314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1580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314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1580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314</v>
      </c>
      <c r="B1746" s="33">
        <f>B1745</f>
        <v>16</v>
      </c>
      <c r="C1746" s="33">
        <f t="shared" si="3490"/>
        <v>68</v>
      </c>
      <c r="E1746" s="33">
        <f t="shared" ref="E1746" si="3576">plan_id</f>
        <v>1580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314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1580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314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1580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314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1580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314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1580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354000000</v>
      </c>
    </row>
    <row r="1751" spans="1:8" x14ac:dyDescent="0.3">
      <c r="A1751" s="33" t="s">
        <v>314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1580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314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1580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314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1580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314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1580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314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1580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314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1580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3" t="s">
        <v>314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1580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314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1580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314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1580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314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1580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31700000</v>
      </c>
    </row>
    <row r="1761" spans="1:8" x14ac:dyDescent="0.3">
      <c r="A1761" s="33" t="s">
        <v>314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1580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314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1580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314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1580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971200000</v>
      </c>
    </row>
    <row r="1764" spans="1:8" x14ac:dyDescent="0.3">
      <c r="A1764" s="33" t="s">
        <v>314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1580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-2635600000.0000014</v>
      </c>
    </row>
    <row r="1765" spans="1:8" x14ac:dyDescent="0.3">
      <c r="A1765" s="33" t="s">
        <v>314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1580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314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1580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314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1580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314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1580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314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1580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314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1580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876800000</v>
      </c>
    </row>
    <row r="1771" spans="1:8" x14ac:dyDescent="0.3">
      <c r="A1771" s="33" t="s">
        <v>314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1580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314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1580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3" t="s">
        <v>314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1580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Milliman</v>
      </c>
    </row>
    <row r="1774" spans="1:8" x14ac:dyDescent="0.3">
      <c r="A1774" s="33" t="s">
        <v>314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1580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314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1580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Tier 1/Tier 2 (Pre-Rate &amp; Post Rate Collar): 15.57%; OPSRP - Pre-Rate &amp; Post Rate Collar: 8.63%</v>
      </c>
    </row>
    <row r="1776" spans="1:8" x14ac:dyDescent="0.3">
      <c r="A1776" s="33" t="s">
        <v>314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1580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Tier 1/Tier 2 (Pre-Rate &amp; Post Rate Collar): 0.03%</v>
      </c>
    </row>
    <row r="1777" spans="1:8" x14ac:dyDescent="0.3">
      <c r="A1777" s="33" t="s">
        <v>314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1580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314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1580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Tier 1/Tier 2 - Pre-Rate Collar:13.49%, Post Rate Collar: 7.24%; OPSRP - Pre-Rate &amp; Post Rate Collar: 1.01%</v>
      </c>
    </row>
    <row r="1779" spans="1:8" x14ac:dyDescent="0.3">
      <c r="A1779" s="33" t="s">
        <v>314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1580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Tier 1/Tier 2 - Pre-Rate Collar:13.49%, Post Rate Collar: 7.24%; OPSRP - Pre-Rate &amp; Post Rate Collar: 1.01%</v>
      </c>
    </row>
    <row r="1780" spans="1:8" x14ac:dyDescent="0.3">
      <c r="A1780" s="33" t="s">
        <v>314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1580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314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1580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1006800000</v>
      </c>
    </row>
    <row r="1782" spans="1:8" x14ac:dyDescent="0.3">
      <c r="A1782" s="33" t="s">
        <v>314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1580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13200000</v>
      </c>
    </row>
    <row r="1783" spans="1:8" x14ac:dyDescent="0.3">
      <c r="A1783" s="33" t="s">
        <v>314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1580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314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1580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314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1580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314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1580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314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1580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Tier 1/Tier 2 - Pre-Rate Collar: 29.06%, Post Rate Collar: 22.81%; OPSRP - Pre-Rate &amp; Post Rate Collar: 9.64%</v>
      </c>
    </row>
    <row r="1788" spans="1:8" x14ac:dyDescent="0.3">
      <c r="A1788" s="33" t="s">
        <v>314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1580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Judges:7%, All Others: None</v>
      </c>
    </row>
    <row r="1789" spans="1:8" x14ac:dyDescent="0.3">
      <c r="A1789" s="33" t="s">
        <v>314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1580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314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1580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314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1580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314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1580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 1&amp;2: 1.00% - 3.75%, Based on membership; OPSRP: FAS times Yrs of CS attributable to fire and police times 1.8%+ all other years of retirement credit times 1.5%</v>
      </c>
    </row>
    <row r="1793" spans="1:8" x14ac:dyDescent="0.3">
      <c r="A1793" s="33" t="s">
        <v>314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1580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3" t="s">
        <v>314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1580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3" t="s">
        <v>314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1580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1.25% on the first $60,000 of annual benefit and 0.15% on amounts above $60,000 of annual benefit.</v>
      </c>
    </row>
    <row r="1796" spans="1:8" x14ac:dyDescent="0.3">
      <c r="A1796" s="33" t="s">
        <v>314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1580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314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1580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2% of previous years benefits</v>
      </c>
    </row>
    <row r="1798" spans="1:8" x14ac:dyDescent="0.3">
      <c r="A1798" s="33" t="s">
        <v>314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1580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314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1580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314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1580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314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1580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3" t="s">
        <v>314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1580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314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1580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3" t="s">
        <v>314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1580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314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1580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33" t="s">
        <v>314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1580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3" t="s">
        <v>314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1580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3" t="s">
        <v>314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1580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Salary increase: -0.94% to 5.17%</v>
      </c>
    </row>
    <row r="1809" spans="1:8" x14ac:dyDescent="0.3">
      <c r="A1809" s="33" t="s">
        <v>314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1580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99</v>
      </c>
    </row>
    <row r="1810" spans="1:8" x14ac:dyDescent="0.3">
      <c r="A1810" s="33" t="s">
        <v>314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1580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97-98</v>
      </c>
    </row>
    <row r="1811" spans="1:8" x14ac:dyDescent="0.3">
      <c r="A1811" s="33" t="s">
        <v>314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1580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</v>
      </c>
    </row>
    <row r="1812" spans="1:8" x14ac:dyDescent="0.3">
      <c r="A1812" s="33" t="s">
        <v>314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1580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314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1580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3" t="s">
        <v>314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1580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School District male: 2yrs, Other General Service male: 1yr, Police &amp; Fire male: 1yr; School District female: 2yrs</v>
      </c>
    </row>
    <row r="1815" spans="1:8" x14ac:dyDescent="0.3">
      <c r="A1815" s="33" t="s">
        <v>314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1580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314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1580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33" t="s">
        <v>314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1580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Tier 1/ Tier2: 20 years; OPSRP Benefits: 16 years</v>
      </c>
    </row>
    <row r="1818" spans="1:8" x14ac:dyDescent="0.3">
      <c r="A1818" s="33" t="s">
        <v>314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1580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3" t="s">
        <v>314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1580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33" t="s">
        <v>314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1580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3" t="s">
        <v>314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1580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3" t="s">
        <v>314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1580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3" t="s">
        <v>314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1580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3" t="s">
        <v>314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1580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3" t="s">
        <v>314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1580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6.2078076888385028E-4</v>
      </c>
    </row>
    <row r="1826" spans="1:8" x14ac:dyDescent="0.3">
      <c r="A1826" s="33" t="s">
        <v>314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1580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3" t="s">
        <v>314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1580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61395200000</v>
      </c>
    </row>
    <row r="1828" spans="1:8" x14ac:dyDescent="0.3">
      <c r="A1828" s="33" t="s">
        <v>314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1580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73458900000</v>
      </c>
    </row>
    <row r="1829" spans="1:8" x14ac:dyDescent="0.3">
      <c r="A1829" s="33" t="s">
        <v>314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1580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12063700000</v>
      </c>
    </row>
    <row r="1830" spans="1:8" x14ac:dyDescent="0.3">
      <c r="A1830" s="33" t="s">
        <v>314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1580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0.83599999999999997</v>
      </c>
    </row>
    <row r="1831" spans="1:8" x14ac:dyDescent="0.3">
      <c r="A1831" s="33" t="s">
        <v>314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1580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9115800000</v>
      </c>
    </row>
    <row r="1832" spans="1:8" x14ac:dyDescent="0.3">
      <c r="A1832" s="33" t="s">
        <v>314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1580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183700000</v>
      </c>
    </row>
    <row r="1833" spans="1:8" x14ac:dyDescent="0.3">
      <c r="A1833" s="33" t="s">
        <v>314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1580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3" t="s">
        <v>314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1580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314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1580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314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1580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314</v>
      </c>
      <c r="B1837" s="33">
        <f>B1836</f>
        <v>17</v>
      </c>
      <c r="C1837" s="33">
        <f t="shared" si="3752"/>
        <v>68</v>
      </c>
      <c r="E1837" s="33">
        <f t="shared" ref="E1837" si="3764">plan_id</f>
        <v>1580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314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1580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314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1580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314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1580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314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1580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337300000</v>
      </c>
    </row>
    <row r="1842" spans="1:8" x14ac:dyDescent="0.3">
      <c r="A1842" s="33" t="s">
        <v>314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1580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314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1580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314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1580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314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1580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314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1580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314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1580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3" t="s">
        <v>314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1580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314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1580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314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1580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314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1580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30200000</v>
      </c>
    </row>
    <row r="1852" spans="1:8" x14ac:dyDescent="0.3">
      <c r="A1852" s="33" t="s">
        <v>314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1580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314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1580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314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1580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948400000</v>
      </c>
    </row>
    <row r="1855" spans="1:8" x14ac:dyDescent="0.3">
      <c r="A1855" s="33" t="s">
        <v>314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1580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9437100000</v>
      </c>
    </row>
    <row r="1856" spans="1:8" x14ac:dyDescent="0.3">
      <c r="A1856" s="33" t="s">
        <v>314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1580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314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1580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314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1580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314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1580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314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1580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8754400000</v>
      </c>
    </row>
    <row r="1861" spans="1:8" x14ac:dyDescent="0.3">
      <c r="A1861" s="33" t="s">
        <v>314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1580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640500000</v>
      </c>
    </row>
    <row r="1862" spans="1:8" x14ac:dyDescent="0.3">
      <c r="A1862" s="33" t="s">
        <v>314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1580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314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1580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33" t="s">
        <v>314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1580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Milliman</v>
      </c>
    </row>
    <row r="1865" spans="1:8" x14ac:dyDescent="0.3">
      <c r="A1865" s="33" t="s">
        <v>314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1580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314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1580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Tier 1/Tier 2 (Pre-Rate &amp; Post Rate Collar): 15.23%; OPSRP - Pre-Rate &amp; Post Rate Collar: 8.56%</v>
      </c>
    </row>
    <row r="1867" spans="1:8" x14ac:dyDescent="0.3">
      <c r="A1867" s="33" t="s">
        <v>314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1580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Tier 1/Tier 2 (Pre-Rate &amp; Post Rate Collar): 0.03%</v>
      </c>
    </row>
    <row r="1868" spans="1:8" x14ac:dyDescent="0.3">
      <c r="A1868" s="33" t="s">
        <v>314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1580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314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1580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Tier 1/Tier 2 - Pre-Rate Collar:15.83%, Post Rate Collar: 7.60%; OPSRP - Pre-Rate &amp; Post Rate Collar: 1.27%</v>
      </c>
    </row>
    <row r="1870" spans="1:8" x14ac:dyDescent="0.3">
      <c r="A1870" s="33" t="s">
        <v>314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1580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Tier 1/Tier 2 - Pre-Rate Collar:15.83%, Post Rate Collar: 7.60%; OPSRP - Pre-Rate &amp; Post Rate Collar: 1.27%</v>
      </c>
    </row>
    <row r="1871" spans="1:8" x14ac:dyDescent="0.3">
      <c r="A1871" s="33" t="s">
        <v>314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1580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314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1580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1199800000</v>
      </c>
    </row>
    <row r="1873" spans="1:8" x14ac:dyDescent="0.3">
      <c r="A1873" s="33" t="s">
        <v>314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1580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14399999.999999998</v>
      </c>
    </row>
    <row r="1874" spans="1:8" x14ac:dyDescent="0.3">
      <c r="A1874" s="33" t="s">
        <v>314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1580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314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1580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314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1580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314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1580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314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1580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Tier 1/Tier 2 - Pre-Rate Collar: 31.06%, Post Rate Collar: 22.83%; OPSRP - Pre-Rate &amp; Post Rate Collar: 9.83%</v>
      </c>
    </row>
    <row r="1879" spans="1:8" x14ac:dyDescent="0.3">
      <c r="A1879" s="33" t="s">
        <v>314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1580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Judges:7%, All Others: None</v>
      </c>
    </row>
    <row r="1880" spans="1:8" x14ac:dyDescent="0.3">
      <c r="A1880" s="33" t="s">
        <v>314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1580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314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1580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314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1580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314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1580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 1&amp;2: 1.00% - 3.75%, Based on membership; OPSRP: FAS times Yrs of CS attributable to fire and police times 1.8%+ all other years of retirement credit times 1.5%</v>
      </c>
    </row>
    <row r="1884" spans="1:8" x14ac:dyDescent="0.3">
      <c r="A1884" s="33" t="s">
        <v>314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1580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3" t="s">
        <v>314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1580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314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1580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1.25% on the first $60,000 of annual benefit and 0.15% on amounts above $60,000 of annual benefit.</v>
      </c>
    </row>
    <row r="1887" spans="1:8" x14ac:dyDescent="0.3">
      <c r="A1887" s="33" t="s">
        <v>314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1580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314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1580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2% of previous years benefits</v>
      </c>
    </row>
    <row r="1889" spans="1:8" x14ac:dyDescent="0.3">
      <c r="A1889" s="33" t="s">
        <v>314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1580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314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1580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314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1580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314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1580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3" t="s">
        <v>314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1580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314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1580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3" t="s">
        <v>314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1580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314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1580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3" t="s">
        <v>314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1580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3" t="s">
        <v>314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1580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3" t="s">
        <v>314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1580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Salary increase: -0.94% to 5.17%</v>
      </c>
    </row>
    <row r="1900" spans="1:8" x14ac:dyDescent="0.3">
      <c r="A1900" s="33" t="s">
        <v>314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1580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106</v>
      </c>
    </row>
    <row r="1901" spans="1:8" x14ac:dyDescent="0.3">
      <c r="A1901" s="33" t="s">
        <v>314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1580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104-105</v>
      </c>
    </row>
    <row r="1902" spans="1:8" x14ac:dyDescent="0.3">
      <c r="A1902" s="33" t="s">
        <v>314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1580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</v>
      </c>
    </row>
    <row r="1903" spans="1:8" x14ac:dyDescent="0.3">
      <c r="A1903" s="33" t="s">
        <v>314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1580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314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1580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3" t="s">
        <v>314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1580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School District male: 2yrs, Other General Service male: 1yr, Police &amp; Fire male: 1yr; School District female: 2yrs</v>
      </c>
    </row>
    <row r="1906" spans="1:8" x14ac:dyDescent="0.3">
      <c r="A1906" s="33" t="s">
        <v>314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1580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314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1580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33" t="s">
        <v>314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1580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Tier 1/ Tier2: 20 years; OPSRP Benefits: 16 years</v>
      </c>
    </row>
    <row r="1909" spans="1:8" x14ac:dyDescent="0.3">
      <c r="A1909" s="33" t="s">
        <v>314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1580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3" t="s">
        <v>314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1580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3" t="s">
        <v>314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1580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3" t="s">
        <v>314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1580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3" t="s">
        <v>314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1580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3" t="s">
        <v>314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1580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3" t="s">
        <v>314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1580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3" t="s">
        <v>314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1580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6.7186701367755077E-4</v>
      </c>
    </row>
    <row r="1917" spans="1:8" x14ac:dyDescent="0.3">
      <c r="A1917" s="33" t="s">
        <v>314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1580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3" t="s">
        <v>314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1580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60000100000</v>
      </c>
    </row>
    <row r="1919" spans="1:8" x14ac:dyDescent="0.3">
      <c r="A1919" s="33" t="s">
        <v>314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1580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76196600000</v>
      </c>
    </row>
    <row r="1920" spans="1:8" x14ac:dyDescent="0.3">
      <c r="A1920" s="33" t="s">
        <v>314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1580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16196500000</v>
      </c>
    </row>
    <row r="1921" spans="1:8" x14ac:dyDescent="0.3">
      <c r="A1921" s="33" t="s">
        <v>314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1580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0.78700000000000003</v>
      </c>
    </row>
    <row r="1922" spans="1:8" x14ac:dyDescent="0.3">
      <c r="A1922" s="33" t="s">
        <v>314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1580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9544100000</v>
      </c>
    </row>
    <row r="1923" spans="1:8" x14ac:dyDescent="0.3">
      <c r="A1923" s="33" t="s">
        <v>314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1580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2625600000</v>
      </c>
    </row>
    <row r="1924" spans="1:8" x14ac:dyDescent="0.3">
      <c r="A1924" s="33" t="s">
        <v>314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1580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3" t="s">
        <v>314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1580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314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1580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314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1580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314</v>
      </c>
      <c r="B1928" s="33">
        <f>B1927</f>
        <v>18</v>
      </c>
      <c r="C1928" s="33">
        <f t="shared" si="3884"/>
        <v>68</v>
      </c>
      <c r="E1928" s="33">
        <f t="shared" ref="E1928" si="3951">plan_id</f>
        <v>1580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314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1580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314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1580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314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1580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314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1580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337100000</v>
      </c>
    </row>
    <row r="1933" spans="1:8" x14ac:dyDescent="0.3">
      <c r="A1933" s="33" t="s">
        <v>314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1580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314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1580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314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1580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314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1580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314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1580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314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1580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3" t="s">
        <v>314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1580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314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1580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314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1580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314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1580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39200000</v>
      </c>
    </row>
    <row r="1943" spans="1:8" x14ac:dyDescent="0.3">
      <c r="A1943" s="33" t="s">
        <v>314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1580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314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1580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314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1580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1088300000</v>
      </c>
    </row>
    <row r="1946" spans="1:8" x14ac:dyDescent="0.3">
      <c r="A1946" s="33" t="s">
        <v>314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1580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3890200000.000001</v>
      </c>
    </row>
    <row r="1947" spans="1:8" x14ac:dyDescent="0.3">
      <c r="A1947" s="33" t="s">
        <v>314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1580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314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1580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314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1580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314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1580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314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1580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314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1580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1330200000</v>
      </c>
    </row>
    <row r="1953" spans="1:8" x14ac:dyDescent="0.3">
      <c r="A1953" s="33" t="s">
        <v>314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1580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314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1580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3" t="s">
        <v>314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1580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Milliman</v>
      </c>
    </row>
    <row r="1956" spans="1:8" x14ac:dyDescent="0.3">
      <c r="A1956" s="33" t="s">
        <v>314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1580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314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1580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Tier 1/Tier 2 (Pre-Rate &amp; Post Rate Collar): 15.58%; OPSRP - Pre-Rate &amp; Post Rate Collar: 9.03%</v>
      </c>
    </row>
    <row r="1958" spans="1:8" x14ac:dyDescent="0.3">
      <c r="A1958" s="33" t="s">
        <v>314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1580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Tier 1/Tier 2 (Pre-Rate &amp; Post Rate Collar): 0.04%</v>
      </c>
    </row>
    <row r="1959" spans="1:8" x14ac:dyDescent="0.3">
      <c r="A1959" s="33" t="s">
        <v>314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1580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314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1580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Tier 1/Tier 2 - Pre-Rate Collar:17.76%, Post Rate Collar: 12.47%; OPSRP - Pre-Rate &amp; Post Rate Collar: 1.56%</v>
      </c>
    </row>
    <row r="1961" spans="1:8" x14ac:dyDescent="0.3">
      <c r="A1961" s="33" t="s">
        <v>314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1580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Tier 1/Tier 2 - Pre-Rate Collar:17.76%, Post Rate Collar: 12.47%; OPSRP - Pre-Rate &amp; Post Rate Collar: 1.56%</v>
      </c>
    </row>
    <row r="1962" spans="1:8" x14ac:dyDescent="0.3">
      <c r="A1962" s="33" t="s">
        <v>314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1580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314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1580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1049300000</v>
      </c>
    </row>
    <row r="1964" spans="1:8" x14ac:dyDescent="0.3">
      <c r="A1964" s="33" t="s">
        <v>314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1580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13100000</v>
      </c>
    </row>
    <row r="1965" spans="1:8" x14ac:dyDescent="0.3">
      <c r="A1965" s="33" t="s">
        <v>314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1580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314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1580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314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1580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314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1580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314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1580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Tier 1/Tier 2 - Pre-Rate Collar: 33.34%, Post Rate Collar: 28.05%; OPSRP - Pre-Rate &amp; Post Rate Collar: 10.59%</v>
      </c>
    </row>
    <row r="1970" spans="1:8" x14ac:dyDescent="0.3">
      <c r="A1970" s="33" t="s">
        <v>314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1580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Judges:7%, All Others: None</v>
      </c>
    </row>
    <row r="1971" spans="1:8" x14ac:dyDescent="0.3">
      <c r="A1971" s="33" t="s">
        <v>314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1580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314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1580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314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1580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314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1580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 1&amp;2: 1.00% - 3.75%, Based on membership; OPSRP: FAS times Yrs of CS attributable to fire and police times 1.8%+ all other years of retirement credit times 1.5%</v>
      </c>
    </row>
    <row r="1975" spans="1:8" x14ac:dyDescent="0.3">
      <c r="A1975" s="33" t="s">
        <v>314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1580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3" t="s">
        <v>314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1580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3" t="s">
        <v>314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1580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1.25% on the first $60,000 of annual benefit and 0.15% on amounts above $60,000 of annual benefit.</v>
      </c>
    </row>
    <row r="1978" spans="1:8" x14ac:dyDescent="0.3">
      <c r="A1978" s="33" t="s">
        <v>314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1580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314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1580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2% of previous years benefits</v>
      </c>
    </row>
    <row r="1980" spans="1:8" x14ac:dyDescent="0.3">
      <c r="A1980" s="33" t="s">
        <v>314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1580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314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1580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314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1580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314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1580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3" t="s">
        <v>314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1580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314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1580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3" t="s">
        <v>314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1580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314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1580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3" t="s">
        <v>314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1580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33" t="s">
        <v>314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1580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3" t="s">
        <v>314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1580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Salary increase: -0.94% to 4.44%</v>
      </c>
    </row>
    <row r="1991" spans="1:8" x14ac:dyDescent="0.3">
      <c r="A1991" s="33" t="s">
        <v>314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1580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103</v>
      </c>
    </row>
    <row r="1992" spans="1:8" x14ac:dyDescent="0.3">
      <c r="A1992" s="33" t="s">
        <v>314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1580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101-102</v>
      </c>
    </row>
    <row r="1993" spans="1:8" x14ac:dyDescent="0.3">
      <c r="A1993" s="33" t="s">
        <v>314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1580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2014</v>
      </c>
    </row>
    <row r="1994" spans="1:8" x14ac:dyDescent="0.3">
      <c r="A1994" s="33" t="s">
        <v>314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1580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3" t="s">
        <v>314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1580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Generational Projection with Unisex Social Security Data Scale</v>
      </c>
    </row>
    <row r="1996" spans="1:8" x14ac:dyDescent="0.3">
      <c r="A1996" s="33" t="s">
        <v>314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1580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School District male: 1yr, Other General Service male: 1yr, Police &amp; Fire male: 1yr; School District female: 1yr</v>
      </c>
    </row>
    <row r="1997" spans="1:8" x14ac:dyDescent="0.3">
      <c r="A1997" s="33" t="s">
        <v>314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1580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314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1580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33" t="s">
        <v>314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1580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Tier 1/ Tier2: 20 years; OPSRP Benefits: 16 years</v>
      </c>
    </row>
    <row r="2000" spans="1:8" x14ac:dyDescent="0.3">
      <c r="A2000" s="33" t="s">
        <v>314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1580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3" t="s">
        <v>314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1580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3" t="s">
        <v>314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1580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3" t="s">
        <v>314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1580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33" t="s">
        <v>314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1580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3" t="s">
        <v>314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1580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3" t="s">
        <v>314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1580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3" t="s">
        <v>314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1580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7.3681681002494919E-4</v>
      </c>
    </row>
    <row r="2008" spans="1:8" x14ac:dyDescent="0.3">
      <c r="A2008" s="33" t="s">
        <v>314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1580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3" t="s">
        <v>314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1580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61059000000</v>
      </c>
    </row>
    <row r="2010" spans="1:8" x14ac:dyDescent="0.3">
      <c r="A2010" s="33" t="s">
        <v>314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1580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80970300000</v>
      </c>
    </row>
    <row r="2011" spans="1:8" x14ac:dyDescent="0.3">
      <c r="A2011" s="33" t="s">
        <v>314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1580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19911200000</v>
      </c>
    </row>
    <row r="2012" spans="1:8" x14ac:dyDescent="0.3">
      <c r="A2012" s="33" t="s">
        <v>314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1580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0.754</v>
      </c>
    </row>
    <row r="2013" spans="1:8" x14ac:dyDescent="0.3">
      <c r="A2013" s="33" t="s">
        <v>314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1580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9872600000</v>
      </c>
    </row>
    <row r="2014" spans="1:8" x14ac:dyDescent="0.3">
      <c r="A2014" s="33" t="s">
        <v>314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1580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37300000</v>
      </c>
    </row>
    <row r="2015" spans="1:8" x14ac:dyDescent="0.3">
      <c r="A2015" s="33" t="s">
        <v>314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1580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3" t="s">
        <v>314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1580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314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1580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314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1580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314</v>
      </c>
      <c r="B2019" s="33">
        <f>B2018</f>
        <v>19</v>
      </c>
      <c r="C2019" s="33">
        <f t="shared" si="4017"/>
        <v>68</v>
      </c>
      <c r="E2019" s="33">
        <f t="shared" ref="E2019" si="4137">plan_id</f>
        <v>1580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314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1580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314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1580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314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1580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314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1580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84900000</v>
      </c>
    </row>
    <row r="2024" spans="1:8" x14ac:dyDescent="0.3">
      <c r="A2024" s="33" t="s">
        <v>314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1580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314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1580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314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1580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314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1580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314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1580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314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1580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3" t="s">
        <v>314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1580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314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1580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314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1580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314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1580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36200000</v>
      </c>
    </row>
    <row r="2034" spans="1:8" x14ac:dyDescent="0.3">
      <c r="A2034" s="33" t="s">
        <v>314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1580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314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1580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314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1580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1092700000</v>
      </c>
    </row>
    <row r="2037" spans="1:8" x14ac:dyDescent="0.3">
      <c r="A2037" s="33" t="s">
        <v>314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1580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3469100000.0000005</v>
      </c>
    </row>
    <row r="2038" spans="1:8" x14ac:dyDescent="0.3">
      <c r="A2038" s="33" t="s">
        <v>314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1580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314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1580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314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1580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314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1580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314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1580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2270100000</v>
      </c>
    </row>
    <row r="2043" spans="1:8" x14ac:dyDescent="0.3">
      <c r="A2043" s="33" t="s">
        <v>314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1580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1617100000</v>
      </c>
    </row>
    <row r="2044" spans="1:8" x14ac:dyDescent="0.3">
      <c r="A2044" s="33" t="s">
        <v>314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1580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314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1580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33" t="s">
        <v>314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1580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Milliman</v>
      </c>
    </row>
    <row r="2047" spans="1:8" x14ac:dyDescent="0.3">
      <c r="A2047" s="33" t="s">
        <v>314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1580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314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1580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Tier 1/Tier 2 (Pre-Rate &amp; Post Rate Collar): 15.42%; OPSRP - Pre-Rate &amp; Post Rate Collar: 8.92%</v>
      </c>
    </row>
    <row r="2049" spans="1:8" x14ac:dyDescent="0.3">
      <c r="A2049" s="33" t="s">
        <v>314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1580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Tier 1/Tier 2 (Pre-Rate &amp; Post Rate Collar): 0.04%</v>
      </c>
    </row>
    <row r="2050" spans="1:8" x14ac:dyDescent="0.3">
      <c r="A2050" s="33" t="s">
        <v>314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1580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314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1580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Tier 1/Tier 2 - Pre-Rate Collar:15.99%, Post Rate Collar: 12.00%; OPSRP - Pre-Rate &amp; Post Rate Collar: 1.45%</v>
      </c>
    </row>
    <row r="2052" spans="1:8" x14ac:dyDescent="0.3">
      <c r="A2052" s="33" t="s">
        <v>314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1580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Tier 1/Tier 2 - Pre-Rate Collar:15.99%, Post Rate Collar: 12.00%; OPSRP - Pre-Rate &amp; Post Rate Collar: 1.45%</v>
      </c>
    </row>
    <row r="2053" spans="1:8" x14ac:dyDescent="0.3">
      <c r="A2053" s="33" t="s">
        <v>314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1580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314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1580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1255900000</v>
      </c>
    </row>
    <row r="2055" spans="1:8" x14ac:dyDescent="0.3">
      <c r="A2055" s="33" t="s">
        <v>314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1580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14700000.000000002</v>
      </c>
    </row>
    <row r="2056" spans="1:8" x14ac:dyDescent="0.3">
      <c r="A2056" s="33" t="s">
        <v>314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1580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314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1580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314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1580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314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1580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314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1580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Tier 1/Tier 2 - Pre-Rate Collar: 31.41%, Post Rate Collar: 27.42%; OPSRP - Pre-Rate &amp; Post Rate Collar: 10.37%</v>
      </c>
    </row>
    <row r="2061" spans="1:8" x14ac:dyDescent="0.3">
      <c r="A2061" s="33" t="s">
        <v>314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1580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Judges:7%, All Others: None</v>
      </c>
    </row>
    <row r="2062" spans="1:8" x14ac:dyDescent="0.3">
      <c r="A2062" s="33" t="s">
        <v>314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1580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314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1580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314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1580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314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1580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 1&amp;2: 1.00% - 3.75%, Based on membership; OPSRP: FAS times Yrs of CS attributable to fire and police times 1.8%+ all other years of retirement credit times 1.5%</v>
      </c>
    </row>
    <row r="2066" spans="1:8" x14ac:dyDescent="0.3">
      <c r="A2066" s="33" t="s">
        <v>314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1580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3" t="s">
        <v>314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1580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314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1580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1.25% on the first $60,000 of annual benefit and 0.15% on amounts above $60,000 of annual benefit.</v>
      </c>
    </row>
    <row r="2069" spans="1:8" x14ac:dyDescent="0.3">
      <c r="A2069" s="33" t="s">
        <v>314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1580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314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1580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2% of previous years benefits</v>
      </c>
    </row>
    <row r="2071" spans="1:8" x14ac:dyDescent="0.3">
      <c r="A2071" s="33" t="s">
        <v>314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1580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314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1580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314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1580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314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1580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3" t="s">
        <v>314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1580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314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1580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3" t="s">
        <v>314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1580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314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1580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3" t="s">
        <v>314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1580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7.1999999999999995E-2</v>
      </c>
    </row>
    <row r="2080" spans="1:8" x14ac:dyDescent="0.3">
      <c r="A2080" s="33" t="s">
        <v>314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1580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3" t="s">
        <v>314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1580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Salary increase: -0.94% to 4.44%</v>
      </c>
    </row>
    <row r="2082" spans="1:8" x14ac:dyDescent="0.3">
      <c r="A2082" s="33" t="s">
        <v>314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1580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105</v>
      </c>
    </row>
    <row r="2083" spans="1:8" x14ac:dyDescent="0.3">
      <c r="A2083" s="33" t="s">
        <v>314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1580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103-104</v>
      </c>
    </row>
    <row r="2084" spans="1:8" x14ac:dyDescent="0.3">
      <c r="A2084" s="33" t="s">
        <v>314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1580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 2014</v>
      </c>
    </row>
    <row r="2085" spans="1:8" x14ac:dyDescent="0.3">
      <c r="A2085" s="33" t="s">
        <v>314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1580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3" t="s">
        <v>314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1580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Generational Projection with Unisex Social Security Data Scale</v>
      </c>
    </row>
    <row r="2087" spans="1:8" x14ac:dyDescent="0.3">
      <c r="A2087" s="33" t="s">
        <v>314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1580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School District male: 1yr, Other General Service male: 1yr, Police &amp; Fire male: 1yr; School District female: 1yr</v>
      </c>
    </row>
    <row r="2088" spans="1:8" x14ac:dyDescent="0.3">
      <c r="A2088" s="33" t="s">
        <v>314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1580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314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1580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3" t="s">
        <v>314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1580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Tier 1/ Tier2: 20 years; OPSRP Benefits: 16 years</v>
      </c>
    </row>
    <row r="2091" spans="1:8" x14ac:dyDescent="0.3">
      <c r="A2091" s="33" t="s">
        <v>314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1580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3" t="s">
        <v>314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1580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3" t="s">
        <v>314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1580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3" t="s">
        <v>314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1580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7.1999999999999995E-2</v>
      </c>
    </row>
    <row r="2095" spans="1:8" x14ac:dyDescent="0.3">
      <c r="A2095" s="33" t="s">
        <v>314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1580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3" t="s">
        <v>314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1580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3" t="s">
        <v>314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1580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3" t="s">
        <v>314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1580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6.5483073424093933E-4</v>
      </c>
    </row>
    <row r="2099" spans="1:8" x14ac:dyDescent="0.3">
      <c r="A2099" s="33" t="s">
        <v>314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1580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3" t="s">
        <v>314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1580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67326100000.000008</v>
      </c>
    </row>
    <row r="2101" spans="1:8" x14ac:dyDescent="0.3">
      <c r="A2101" s="33" t="s">
        <v>314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1580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84056100000</v>
      </c>
    </row>
    <row r="2102" spans="1:8" x14ac:dyDescent="0.3">
      <c r="A2102" s="33" t="s">
        <v>314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1580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16730000000</v>
      </c>
    </row>
    <row r="2103" spans="1:8" x14ac:dyDescent="0.3">
      <c r="A2103" s="33" t="s">
        <v>314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1580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0.80100000000000005</v>
      </c>
    </row>
    <row r="2104" spans="1:8" x14ac:dyDescent="0.3">
      <c r="A2104" s="33" t="s">
        <v>314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1580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10098900000</v>
      </c>
    </row>
    <row r="2105" spans="1:8" x14ac:dyDescent="0.3">
      <c r="A2105" s="33" t="s">
        <v>314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1580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-4814200000</v>
      </c>
    </row>
    <row r="2106" spans="1:8" x14ac:dyDescent="0.3">
      <c r="A2106" s="33" t="s">
        <v>314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1580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3" t="s">
        <v>314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1580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314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1580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314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1580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314</v>
      </c>
      <c r="B2110" s="33">
        <f>B2109</f>
        <v>20</v>
      </c>
      <c r="C2110" s="33">
        <f t="shared" si="4278"/>
        <v>68</v>
      </c>
      <c r="E2110" s="33">
        <f t="shared" ref="E2110" si="4324">plan_id</f>
        <v>1580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314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1580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314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1580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314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1580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314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1580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750300000</v>
      </c>
    </row>
    <row r="2115" spans="1:8" x14ac:dyDescent="0.3">
      <c r="A2115" s="33" t="s">
        <v>314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1580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314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1580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314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1580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314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1580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314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1580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314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1580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3" t="s">
        <v>314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1580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314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1580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314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1580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314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1580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2300000.0000000042</v>
      </c>
    </row>
    <row r="2125" spans="1:8" x14ac:dyDescent="0.3">
      <c r="A2125" s="33" t="s">
        <v>314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1580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314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1580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314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1580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1142800000</v>
      </c>
    </row>
    <row r="2128" spans="1:8" x14ac:dyDescent="0.3">
      <c r="A2128" s="33" t="s">
        <v>314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1580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-3008800000.000001</v>
      </c>
    </row>
    <row r="2129" spans="1:8" x14ac:dyDescent="0.3">
      <c r="A2129" s="33" t="s">
        <v>314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1580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314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1580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314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1580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314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1580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314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1580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314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1580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1796100000</v>
      </c>
    </row>
    <row r="2135" spans="1:8" x14ac:dyDescent="0.3">
      <c r="A2135" s="33" t="s">
        <v>314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1580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314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1580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3" t="s">
        <v>314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1580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Milliman</v>
      </c>
    </row>
    <row r="2138" spans="1:8" x14ac:dyDescent="0.3">
      <c r="A2138" s="33" t="s">
        <v>314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1580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314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1580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Tier 1/Tier 2 (Pre-Rate &amp; Post Rate Collar): 15.33%; OPSRP - Pre-Rate &amp; Post Rate Collar: 9.22%</v>
      </c>
    </row>
    <row r="2140" spans="1:8" x14ac:dyDescent="0.3">
      <c r="A2140" s="33" t="s">
        <v>314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1580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Tier 1/Tier 2 (Pre-Rate &amp; Post Rate Collar): 0.04%</v>
      </c>
    </row>
    <row r="2141" spans="1:8" x14ac:dyDescent="0.3">
      <c r="A2141" s="33" t="s">
        <v>314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1580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314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1580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Tier 1/Tier 2 - Pre-Rate Collar:15.18%, Post Rate Collar: 14.99%; OPSRP - Pre-Rate &amp; Post Rate Collar: 1.76%</v>
      </c>
    </row>
    <row r="2143" spans="1:8" x14ac:dyDescent="0.3">
      <c r="A2143" s="33" t="s">
        <v>314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1580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6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Tier 1/Tier 2 - Pre-Rate Collar:15.18%, Post Rate Collar: 14.99%; OPSRP - Pre-Rate &amp; Post Rate Collar: 1.76%</v>
      </c>
    </row>
    <row r="2144" spans="1:8" x14ac:dyDescent="0.3">
      <c r="A2144" s="33" t="s">
        <v>314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1580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314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1580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1818900000</v>
      </c>
    </row>
    <row r="2146" spans="1:8" x14ac:dyDescent="0.3">
      <c r="A2146" s="33" t="s">
        <v>314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1580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10500000</v>
      </c>
    </row>
    <row r="2147" spans="1:8" x14ac:dyDescent="0.3">
      <c r="A2147" s="33" t="s">
        <v>314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1580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314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1580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314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1580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314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1580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314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1580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Tier 1/Tier 2 - Pre-Rate Collar: 30.51%, Post Rate Collar: 30.32%; OPSRP - Pre-Rate &amp; Post Rate Collar: 10.98%</v>
      </c>
    </row>
    <row r="2152" spans="1:8" x14ac:dyDescent="0.3">
      <c r="A2152" s="33" t="s">
        <v>314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1580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Judges:7%, All Others: None</v>
      </c>
    </row>
    <row r="2153" spans="1:8" x14ac:dyDescent="0.3">
      <c r="A2153" s="33" t="s">
        <v>314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1580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314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1580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314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1580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314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1580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 1&amp;2: 1.00% - 3.75%, Based on membership; OPSRP: FAS times Yrs of CS attributable to fire and police times 1.8%+ all other years of retirement credit times 1.5%</v>
      </c>
    </row>
    <row r="2157" spans="1:8" x14ac:dyDescent="0.3">
      <c r="A2157" s="33" t="s">
        <v>314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1580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3" t="s">
        <v>314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1580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3" t="s">
        <v>314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1580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1.25% on the first $60,000 of annual benefit and 0.15% on amounts above $60,000 of annual benefit.</v>
      </c>
    </row>
    <row r="2160" spans="1:8" x14ac:dyDescent="0.3">
      <c r="A2160" s="33" t="s">
        <v>314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1580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314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1580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2% of previous years benefits</v>
      </c>
    </row>
    <row r="2162" spans="1:8" x14ac:dyDescent="0.3">
      <c r="A2162" s="33" t="s">
        <v>314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1580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314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1580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314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1580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314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1580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3" t="s">
        <v>314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1580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314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1580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3" t="s">
        <v>314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1580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314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1580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3" t="s">
        <v>314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1580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7.1999999999999995E-2</v>
      </c>
    </row>
    <row r="2171" spans="1:8" x14ac:dyDescent="0.3">
      <c r="A2171" s="33" t="s">
        <v>314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1580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3" t="s">
        <v>314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1580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Salary increase: -0.95% to 4.44%</v>
      </c>
    </row>
    <row r="2173" spans="1:8" x14ac:dyDescent="0.3">
      <c r="A2173" s="33" t="s">
        <v>314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1580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108</v>
      </c>
    </row>
    <row r="2174" spans="1:8" x14ac:dyDescent="0.3">
      <c r="A2174" s="33" t="s">
        <v>314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1580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106-107</v>
      </c>
    </row>
    <row r="2175" spans="1:8" x14ac:dyDescent="0.3">
      <c r="A2175" s="33" t="s">
        <v>314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1580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Pub-2010</v>
      </c>
    </row>
    <row r="2176" spans="1:8" x14ac:dyDescent="0.3">
      <c r="A2176" s="33" t="s">
        <v>314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1580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2010</v>
      </c>
    </row>
    <row r="2177" spans="1:8" x14ac:dyDescent="0.3">
      <c r="A2177" s="33" t="s">
        <v>314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1580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Generational Projection with Unisex Social Security Data Scale</v>
      </c>
    </row>
    <row r="2178" spans="1:8" x14ac:dyDescent="0.3">
      <c r="A2178" s="33" t="s">
        <v>314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1580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General Employees male: 1yr, Police and Fire female :1yr</v>
      </c>
    </row>
    <row r="2179" spans="1:8" x14ac:dyDescent="0.3">
      <c r="A2179" s="33" t="s">
        <v>314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1580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314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1580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33" t="s">
        <v>314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1580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1/ Tier2: 20 years; OPSRP Benefits: 16 years</v>
      </c>
    </row>
    <row r="2182" spans="1:8" x14ac:dyDescent="0.3">
      <c r="A2182" s="33" t="s">
        <v>314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1580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3" t="s">
        <v>314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1580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7.1999999999999995E-2</v>
      </c>
    </row>
    <row r="2184" spans="1:8" x14ac:dyDescent="0.3">
      <c r="A2184" s="33" t="s">
        <v>314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1580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3" t="s">
        <v>314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1580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7.1999999999999995E-2</v>
      </c>
    </row>
    <row r="2186" spans="1:8" x14ac:dyDescent="0.3">
      <c r="A2186" s="33" t="s">
        <v>314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1580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3" t="s">
        <v>314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1580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3" t="s">
        <v>314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1580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3" t="s">
        <v>314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1580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6.0750425004676295E-4</v>
      </c>
    </row>
    <row r="2190" spans="1:8" x14ac:dyDescent="0.3">
      <c r="A2190" s="33" t="s">
        <v>314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1580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3" t="s">
        <v>314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1580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64802300000</v>
      </c>
    </row>
    <row r="2192" spans="1:8" x14ac:dyDescent="0.3">
      <c r="A2192" s="33" t="s">
        <v>314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1580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86574700000</v>
      </c>
    </row>
    <row r="2193" spans="1:8" x14ac:dyDescent="0.3">
      <c r="A2193" s="33" t="s">
        <v>314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1580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21772400000</v>
      </c>
    </row>
    <row r="2194" spans="1:8" x14ac:dyDescent="0.3">
      <c r="A2194" s="33" t="s">
        <v>314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1580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0.749</v>
      </c>
    </row>
    <row r="2195" spans="1:8" x14ac:dyDescent="0.3">
      <c r="A2195" s="33" t="s">
        <v>314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1580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10852000000</v>
      </c>
    </row>
    <row r="2196" spans="1:8" x14ac:dyDescent="0.3">
      <c r="A2196" s="33" t="s">
        <v>314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1580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3941500000</v>
      </c>
    </row>
    <row r="2197" spans="1:8" x14ac:dyDescent="0.3">
      <c r="A2197" s="33" t="s">
        <v>314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1580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3" t="s">
        <v>314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1580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314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1580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314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1580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314</v>
      </c>
      <c r="B2201" s="33">
        <f>B2200</f>
        <v>21</v>
      </c>
      <c r="C2201" s="33">
        <f t="shared" si="4410"/>
        <v>68</v>
      </c>
      <c r="E2201" s="33">
        <f t="shared" ref="E2201" si="4511">plan_id</f>
        <v>1580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314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1580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314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1580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314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1580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314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1580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319800000</v>
      </c>
    </row>
    <row r="2206" spans="1:8" x14ac:dyDescent="0.3">
      <c r="A2206" s="33" t="s">
        <v>314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1580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314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1580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314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1580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314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1580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314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1580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314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1580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3" t="s">
        <v>314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1580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314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1580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314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1580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314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1580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29200000</v>
      </c>
    </row>
    <row r="2216" spans="1:8" x14ac:dyDescent="0.3">
      <c r="A2216" s="33" t="s">
        <v>314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1580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314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1580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314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1580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1134500000</v>
      </c>
    </row>
    <row r="2219" spans="1:8" x14ac:dyDescent="0.3">
      <c r="A2219" s="33" t="s">
        <v>314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1580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4690500000.000001</v>
      </c>
    </row>
    <row r="2220" spans="1:8" x14ac:dyDescent="0.3">
      <c r="A2220" s="33" t="s">
        <v>314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1580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314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1580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314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1580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314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1580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314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1580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-98400000</v>
      </c>
    </row>
    <row r="2225" spans="1:8" x14ac:dyDescent="0.3">
      <c r="A2225" s="33" t="s">
        <v>314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1580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1567600000</v>
      </c>
    </row>
    <row r="2226" spans="1:8" x14ac:dyDescent="0.3">
      <c r="A2226" s="33" t="s">
        <v>314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1580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314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1580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33" t="s">
        <v>314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1580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Milliman</v>
      </c>
    </row>
    <row r="2229" spans="1:8" x14ac:dyDescent="0.3">
      <c r="A2229" s="33" t="s">
        <v>314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1580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314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1580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Tier 1/Tier 2 (Pre-Rate &amp; Post Rate Collar): 15.05%; OPSRP - Pre-Rate &amp; Post Rate Collar: 9.16%</v>
      </c>
    </row>
    <row r="2231" spans="1:8" x14ac:dyDescent="0.3">
      <c r="A2231" s="33" t="s">
        <v>314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1580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Tier 1/Tier 2 (Pre-Rate &amp; Post Rate Collar): 0.05%</v>
      </c>
    </row>
    <row r="2232" spans="1:8" x14ac:dyDescent="0.3">
      <c r="A2232" s="33" t="s">
        <v>314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1580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314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1580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Tier 1/Tier 2 - Pre-Rate Collar:12.95%, Post Rate Collar: 12.86%; OPSRP - Pre-Rate &amp; Post Rate Collar: 1.69%</v>
      </c>
    </row>
    <row r="2234" spans="1:8" x14ac:dyDescent="0.3">
      <c r="A2234" s="33" t="s">
        <v>314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1580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6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Tier 1/Tier 2 - Pre-Rate Collar:12.95%, Post Rate Collar: 12.86%; OPSRP - Pre-Rate &amp; Post Rate Collar: 1.69%</v>
      </c>
    </row>
    <row r="2235" spans="1:8" x14ac:dyDescent="0.3">
      <c r="A2235" s="33" t="s">
        <v>314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1580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314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1580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2073500000</v>
      </c>
    </row>
    <row r="2237" spans="1:8" x14ac:dyDescent="0.3">
      <c r="A2237" s="33" t="s">
        <v>314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1580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11400000</v>
      </c>
    </row>
    <row r="2238" spans="1:8" x14ac:dyDescent="0.3">
      <c r="A2238" s="33" t="s">
        <v>314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1580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314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1580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314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1580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314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1580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314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1580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Tier 1/Tier 2 - Pre-Rate Collar: 28.00%, Post Rate Collar: 27.91%; OPSRP - Pre-Rate &amp; Post Rate Collar: 10.85%</v>
      </c>
    </row>
    <row r="2243" spans="1:8" x14ac:dyDescent="0.3">
      <c r="A2243" s="33" t="s">
        <v>314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1580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Judges:7%, All Others: None</v>
      </c>
    </row>
    <row r="2244" spans="1:8" x14ac:dyDescent="0.3">
      <c r="A2244" s="33" t="s">
        <v>314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1580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314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1580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314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1580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314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1580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1&amp;2: 1.00% - 3.75%, Based on membership; OPSRP: FAS times Yrs of CS attributable to fire and police times 1.8%+ all other years of retirement credit times 1.5%</v>
      </c>
    </row>
    <row r="2248" spans="1:8" x14ac:dyDescent="0.3">
      <c r="A2248" s="33" t="s">
        <v>314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1580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3" t="s">
        <v>314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1580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314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1580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1.25% on the first $60,000 of annual benefit and 0.15% on amounts above $60,000 of annual benefit.</v>
      </c>
    </row>
    <row r="2251" spans="1:8" x14ac:dyDescent="0.3">
      <c r="A2251" s="33" t="s">
        <v>314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1580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314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1580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2% of previous years benefits</v>
      </c>
    </row>
    <row r="2253" spans="1:8" x14ac:dyDescent="0.3">
      <c r="A2253" s="33" t="s">
        <v>314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1580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314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1580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314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1580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314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1580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3" t="s">
        <v>314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1580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314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1580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3" t="s">
        <v>314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1580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314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1580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3" t="s">
        <v>314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1580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7.1999999999999995E-2</v>
      </c>
    </row>
    <row r="2262" spans="1:8" x14ac:dyDescent="0.3">
      <c r="A2262" s="33" t="s">
        <v>314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1580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3" t="s">
        <v>314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1580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Salary increase: -0.59% to 4.44%</v>
      </c>
    </row>
    <row r="2264" spans="1:8" x14ac:dyDescent="0.3">
      <c r="A2264" s="33" t="s">
        <v>314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1580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107</v>
      </c>
    </row>
    <row r="2265" spans="1:8" x14ac:dyDescent="0.3">
      <c r="A2265" s="33" t="s">
        <v>314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1580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105-106</v>
      </c>
    </row>
    <row r="2266" spans="1:8" x14ac:dyDescent="0.3">
      <c r="A2266" s="33" t="s">
        <v>314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1580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</v>
      </c>
    </row>
    <row r="2267" spans="1:8" x14ac:dyDescent="0.3">
      <c r="A2267" s="33" t="s">
        <v>314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1580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33" t="s">
        <v>314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1580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Generational Projection with Unisex Social Security Data Scale</v>
      </c>
    </row>
    <row r="2269" spans="1:8" x14ac:dyDescent="0.3">
      <c r="A2269" s="33" t="s">
        <v>314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1580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General Employees male: 1yr, Police and Fire female :1yr</v>
      </c>
    </row>
    <row r="2270" spans="1:8" x14ac:dyDescent="0.3">
      <c r="A2270" s="33" t="s">
        <v>314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1580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314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1580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33" t="s">
        <v>314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1580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1/ Tier2: 20 years; OPSRP Benefits: 16 years</v>
      </c>
    </row>
    <row r="2273" spans="1:8" x14ac:dyDescent="0.3">
      <c r="A2273" s="33" t="s">
        <v>314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1580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3" t="s">
        <v>314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1580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7.1999999999999995E-2</v>
      </c>
    </row>
    <row r="2275" spans="1:8" x14ac:dyDescent="0.3">
      <c r="A2275" s="33" t="s">
        <v>314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1580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3" t="s">
        <v>314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1580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7.1999999999999995E-2</v>
      </c>
    </row>
    <row r="2277" spans="1:8" x14ac:dyDescent="0.3">
      <c r="A2277" s="33" t="s">
        <v>314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1580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3" t="s">
        <v>314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1580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3" t="s">
        <v>314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1580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3" t="s">
        <v>314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1580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6.7845087558278177E-4</v>
      </c>
    </row>
    <row r="2281" spans="1:8" x14ac:dyDescent="0.3">
      <c r="A2281" s="33" t="s">
        <v>314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1580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3" t="s">
        <v>314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1580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70312300000</v>
      </c>
    </row>
    <row r="2283" spans="1:8" x14ac:dyDescent="0.3">
      <c r="A2283" s="33" t="s">
        <v>314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1580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89445700000</v>
      </c>
    </row>
    <row r="2284" spans="1:8" x14ac:dyDescent="0.3">
      <c r="A2284" s="33" t="s">
        <v>314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1580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19133500000</v>
      </c>
    </row>
    <row r="2285" spans="1:8" x14ac:dyDescent="0.3">
      <c r="A2285" s="33" t="s">
        <v>314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1580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0.78600000000000003</v>
      </c>
    </row>
    <row r="2286" spans="1:8" x14ac:dyDescent="0.3">
      <c r="A2286" s="33" t="s">
        <v>314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1580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11533700000</v>
      </c>
    </row>
    <row r="2287" spans="1:8" x14ac:dyDescent="0.3">
      <c r="A2287" s="33" t="s">
        <v>314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1580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-3509400000</v>
      </c>
    </row>
    <row r="2288" spans="1:8" x14ac:dyDescent="0.3">
      <c r="A2288" s="33" t="s">
        <v>314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1580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3" t="s">
        <v>314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1580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314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1580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314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1580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314</v>
      </c>
      <c r="B2292" s="33">
        <f>B2291</f>
        <v>22</v>
      </c>
      <c r="C2292" s="33">
        <f t="shared" si="4673"/>
        <v>68</v>
      </c>
      <c r="E2292" s="33">
        <f t="shared" ref="E2292" si="4700">plan_id</f>
        <v>1580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314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1580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314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1580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314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1580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314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1580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487200000</v>
      </c>
    </row>
    <row r="2297" spans="1:8" x14ac:dyDescent="0.3">
      <c r="A2297" s="33" t="s">
        <v>314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1580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314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1580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314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1580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314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1580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314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1580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314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1580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3" t="s">
        <v>314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1580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314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1580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3" t="s">
        <v>314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1580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314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1580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34599999.999999993</v>
      </c>
    </row>
    <row r="2307" spans="1:8" x14ac:dyDescent="0.3">
      <c r="A2307" s="33" t="s">
        <v>314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1580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314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1580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314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1580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1212000000</v>
      </c>
    </row>
    <row r="2310" spans="1:8" x14ac:dyDescent="0.3">
      <c r="A2310" s="33" t="s">
        <v>314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1580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-2378200000</v>
      </c>
    </row>
    <row r="2311" spans="1:8" x14ac:dyDescent="0.3">
      <c r="A2311" s="33" t="s">
        <v>314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1580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314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1580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314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1580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314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1580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314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1580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314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1580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1897600000</v>
      </c>
    </row>
    <row r="2317" spans="1:8" x14ac:dyDescent="0.3">
      <c r="A2317" s="33" t="s">
        <v>314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1580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314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1580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3" t="s">
        <v>314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1580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Milliman</v>
      </c>
    </row>
    <row r="2320" spans="1:8" x14ac:dyDescent="0.3">
      <c r="A2320" s="33" t="s">
        <v>314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1580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314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1580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Tier 1/Tier 2 (Pre-Rate &amp; Post Rate Collar): 16.49%; OPSRP - Pre-Rate &amp; Post Rate Collar: 10.57%</v>
      </c>
    </row>
    <row r="2322" spans="1:8" x14ac:dyDescent="0.3">
      <c r="A2322" s="33" t="s">
        <v>314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1580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Tier 1/Tier 2 (Pre-Rate &amp; Post Rate Collar): 0.05%</v>
      </c>
    </row>
    <row r="2323" spans="1:8" x14ac:dyDescent="0.3">
      <c r="A2323" s="33" t="s">
        <v>314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1580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314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1580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Tier 1/Tier 2 - Pre-Rate Collar:14.24%, Post Rate Collar: 14.23%; OPSRP - Pre-Rate &amp; Post Rate Collar: 2.09%</v>
      </c>
    </row>
    <row r="2325" spans="1:8" x14ac:dyDescent="0.3">
      <c r="A2325" s="33" t="s">
        <v>314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1580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6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Tier 1/Tier 2 - Pre-Rate Collar:14.24%, Post Rate Collar: 14.23%; OPSRP - Pre-Rate &amp; Post Rate Collar: 2.09%</v>
      </c>
    </row>
    <row r="2326" spans="1:8" x14ac:dyDescent="0.3">
      <c r="A2326" s="33" t="s">
        <v>314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1580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314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1580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2180400000</v>
      </c>
    </row>
    <row r="2328" spans="1:8" x14ac:dyDescent="0.3">
      <c r="A2328" s="33" t="s">
        <v>314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1580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9600000</v>
      </c>
    </row>
    <row r="2329" spans="1:8" x14ac:dyDescent="0.3">
      <c r="A2329" s="33" t="s">
        <v>314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1580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314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1580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314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1580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314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1580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314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1580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Tier 1/Tier 2 - Pre-Rate Collar: 30.73%, Post Rate Collar: 30.72%; OPSRP - Pre-Rate &amp; Post Rate Collar: 12.66%</v>
      </c>
    </row>
    <row r="2334" spans="1:8" x14ac:dyDescent="0.3">
      <c r="A2334" s="33" t="s">
        <v>314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1580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Judges:7%, All Others: Tier 1/Tier 2 members contributed 2.5%, OPSRP: 0.75%</v>
      </c>
    </row>
    <row r="2335" spans="1:8" x14ac:dyDescent="0.3">
      <c r="A2335" s="33" t="s">
        <v>314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1580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314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1580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314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1580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314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1580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1&amp;2: 1.00% - 3.75%, Based on membership; OPSRP: FAS times Yrs of CS attributable to fire and police times 1.8%+ all other years of retirement credit times 1.5%</v>
      </c>
    </row>
    <row r="2339" spans="1:8" x14ac:dyDescent="0.3">
      <c r="A2339" s="33" t="s">
        <v>314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1580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3" t="s">
        <v>314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1580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3" t="s">
        <v>314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1580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1.25% on the first $60,000 of annual benefit and 0.15% on amounts above $60,000 of annual benefit.</v>
      </c>
    </row>
    <row r="2342" spans="1:8" x14ac:dyDescent="0.3">
      <c r="A2342" s="33" t="s">
        <v>314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1580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314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1580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2% of previous years benefits</v>
      </c>
    </row>
    <row r="2344" spans="1:8" x14ac:dyDescent="0.3">
      <c r="A2344" s="33" t="s">
        <v>314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1580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314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1580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314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1580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314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1580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3" t="s">
        <v>314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1580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314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1580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3" t="s">
        <v>314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1580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314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1580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2.4E-2</v>
      </c>
    </row>
    <row r="2352" spans="1:8" x14ac:dyDescent="0.3">
      <c r="A2352" s="33" t="s">
        <v>314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1580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6.9000000000000006E-2</v>
      </c>
    </row>
    <row r="2353" spans="1:8" x14ac:dyDescent="0.3">
      <c r="A2353" s="33" t="s">
        <v>314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1580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3.4000000000000002E-2</v>
      </c>
    </row>
    <row r="2354" spans="1:8" x14ac:dyDescent="0.3">
      <c r="A2354" s="33" t="s">
        <v>314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1580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Salary increase: -0.59% to 5.13%</v>
      </c>
    </row>
    <row r="2355" spans="1:8" x14ac:dyDescent="0.3">
      <c r="A2355" s="33" t="s">
        <v>314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1580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110</v>
      </c>
    </row>
    <row r="2356" spans="1:8" x14ac:dyDescent="0.3">
      <c r="A2356" s="33" t="s">
        <v>314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1580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108-109</v>
      </c>
    </row>
    <row r="2357" spans="1:8" x14ac:dyDescent="0.3">
      <c r="A2357" s="33" t="s">
        <v>314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1580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">
      <c r="A2358" s="33" t="s">
        <v>314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1580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3" t="s">
        <v>314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1580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Generational Projection with Unisex Social Security Data Scale</v>
      </c>
    </row>
    <row r="2360" spans="1:8" x14ac:dyDescent="0.3">
      <c r="A2360" s="33" t="s">
        <v>314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1580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General Employees male: 1yr, Police and Fire female :1yr</v>
      </c>
    </row>
    <row r="2361" spans="1:8" x14ac:dyDescent="0.3">
      <c r="A2361" s="33" t="s">
        <v>314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1580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314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1580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33" t="s">
        <v>314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1580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1/ Tier2: 20 years; OPSRP Benefits: 16 years</v>
      </c>
    </row>
    <row r="2364" spans="1:8" x14ac:dyDescent="0.3">
      <c r="A2364" s="33" t="s">
        <v>314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1580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3" t="s">
        <v>314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1580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6.9000000000000006E-2</v>
      </c>
    </row>
    <row r="2366" spans="1:8" x14ac:dyDescent="0.3">
      <c r="A2366" s="33" t="s">
        <v>314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1580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3" t="s">
        <v>314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1580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6.9000000000000006E-2</v>
      </c>
    </row>
    <row r="2368" spans="1:8" x14ac:dyDescent="0.3">
      <c r="A2368" s="33" t="s">
        <v>314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1580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3" t="s">
        <v>314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1580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3" t="s">
        <v>314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1580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33" t="s">
        <v>314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1580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8.31701823855858E-4</v>
      </c>
    </row>
    <row r="2372" spans="1:8" x14ac:dyDescent="0.3">
      <c r="A2372" s="33" t="s">
        <v>314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1580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3" t="s">
        <v>314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1580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72378300000</v>
      </c>
    </row>
    <row r="2374" spans="1:8" x14ac:dyDescent="0.3">
      <c r="A2374" s="33" t="s">
        <v>314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1580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95300400000</v>
      </c>
    </row>
    <row r="2375" spans="1:8" x14ac:dyDescent="0.3">
      <c r="A2375" s="33" t="s">
        <v>314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1580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22922100000</v>
      </c>
    </row>
    <row r="2376" spans="1:8" x14ac:dyDescent="0.3">
      <c r="A2376" s="33" t="s">
        <v>314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1580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0.75900000000000001</v>
      </c>
    </row>
    <row r="2377" spans="1:8" x14ac:dyDescent="0.3">
      <c r="A2377" s="33" t="s">
        <v>314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1580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12042700000</v>
      </c>
    </row>
    <row r="2378" spans="1:8" x14ac:dyDescent="0.3">
      <c r="A2378" s="33" t="s">
        <v>314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1580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-200000.00000000285</v>
      </c>
    </row>
    <row r="2379" spans="1:8" x14ac:dyDescent="0.3">
      <c r="A2379" s="33" t="s">
        <v>314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1580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3" t="s">
        <v>314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1580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314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1580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314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1580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314</v>
      </c>
      <c r="B2383" s="33">
        <f>B2382</f>
        <v>23</v>
      </c>
      <c r="C2383" s="33">
        <f t="shared" si="4806"/>
        <v>68</v>
      </c>
      <c r="E2383" s="33">
        <f t="shared" ref="E2383" si="4887">plan_id</f>
        <v>1580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314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1580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314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1580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314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1580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314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1580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8200000.0000000028</v>
      </c>
    </row>
    <row r="2388" spans="1:8" x14ac:dyDescent="0.3">
      <c r="A2388" s="33" t="s">
        <v>314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1580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314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1580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314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1580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314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1580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314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1580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314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1580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3" t="s">
        <v>314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1580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314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1580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314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1580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314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1580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545600000</v>
      </c>
    </row>
    <row r="2398" spans="1:8" x14ac:dyDescent="0.3">
      <c r="A2398" s="33" t="s">
        <v>314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1580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314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1580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314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1580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1247400000</v>
      </c>
    </row>
    <row r="2401" spans="1:8" x14ac:dyDescent="0.3">
      <c r="A2401" s="33" t="s">
        <v>314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1580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3440299999.999999</v>
      </c>
    </row>
    <row r="2402" spans="1:8" x14ac:dyDescent="0.3">
      <c r="A2402" s="33" t="s">
        <v>314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1580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314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1580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314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1580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314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1580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314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1580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3463600000.0000005</v>
      </c>
    </row>
    <row r="2407" spans="1:8" x14ac:dyDescent="0.3">
      <c r="A2407" s="33" t="s">
        <v>314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1580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1708800000</v>
      </c>
    </row>
    <row r="2408" spans="1:8" x14ac:dyDescent="0.3">
      <c r="A2408" s="33" t="s">
        <v>314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1580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314</v>
      </c>
      <c r="B2409" s="33">
        <v>24</v>
      </c>
      <c r="C2409" s="33">
        <f t="shared" si="4938"/>
        <v>3</v>
      </c>
      <c r="E2409" s="33">
        <f t="shared" ref="E2409" si="4941">plan_id</f>
        <v>1580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3" t="s">
        <v>314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1580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Milliman</v>
      </c>
    </row>
    <row r="2411" spans="1:8" x14ac:dyDescent="0.3">
      <c r="A2411" s="33" t="s">
        <v>314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1580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314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1580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Tier 1/Tier 2 (Pre-Rate &amp; Post Rate Collar): 16.04%; OPSRP - Pre-Rate &amp; Post Rate Collar: 10.47%</v>
      </c>
    </row>
    <row r="2413" spans="1:8" x14ac:dyDescent="0.3">
      <c r="A2413" s="33" t="s">
        <v>314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1580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Tier 1/Tier 2 (Pre-Rate &amp; Post Rate Collar): 0.06%</v>
      </c>
    </row>
    <row r="2414" spans="1:8" x14ac:dyDescent="0.3">
      <c r="A2414" s="33" t="s">
        <v>314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1580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314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1580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Tier 1/Tier 2 - Pre-Rate Collar:10.05%, Post Rate Collar: 12.88%; OPSRP - Pre-Rate Collar:1.51%, Post Rate Collar: 1.69%</v>
      </c>
    </row>
    <row r="2416" spans="1:8" x14ac:dyDescent="0.3">
      <c r="A2416" s="33" t="s">
        <v>314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1580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6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Tier 1/Tier 2 - Pre-Rate Collar:10.05%, Post Rate Collar: 12.88%; OPSRP - Pre-Rate Collar:1.51%, Post Rate Collar: 1.69%</v>
      </c>
    </row>
    <row r="2417" spans="1:8" x14ac:dyDescent="0.3">
      <c r="A2417" s="33" t="s">
        <v>314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1580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314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1580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2145300000.0000002</v>
      </c>
    </row>
    <row r="2419" spans="1:8" x14ac:dyDescent="0.3">
      <c r="A2419" s="33" t="s">
        <v>314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1580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10200000</v>
      </c>
    </row>
    <row r="2420" spans="1:8" x14ac:dyDescent="0.3">
      <c r="A2420" s="33" t="s">
        <v>314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1580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314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1580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314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1580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314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1580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314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1580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Tier 1/Tier 2 - Pre-Rate Collar: 26.09%, Post Rate Collar: 28.92%; OPSRP - Pre-Rate Collar: 11.98%, Post Rate Collar: 12.16%</v>
      </c>
    </row>
    <row r="2425" spans="1:8" x14ac:dyDescent="0.3">
      <c r="A2425" s="33" t="s">
        <v>314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1580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Judges:7%, All Others: Tier 1/Tier 2 members contributed 2.5%, OPSRP: 0.75%</v>
      </c>
    </row>
    <row r="2426" spans="1:8" x14ac:dyDescent="0.3">
      <c r="A2426" s="33" t="s">
        <v>314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1580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314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1580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314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1580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314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1580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1&amp;2: 1.00% - 3.75%, Based on membership; OPSRP: FAS times Yrs of CS attributable to fire and police times 1.8%+ all other years of retirement credit times 1.5%</v>
      </c>
    </row>
    <row r="2430" spans="1:8" x14ac:dyDescent="0.3">
      <c r="A2430" s="33" t="s">
        <v>314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1580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3" t="s">
        <v>314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1580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314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1580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1.25% on the first $60,000 of annual benefit and 0.15% on amounts above $60,000 of annual benefit.</v>
      </c>
    </row>
    <row r="2433" spans="1:8" x14ac:dyDescent="0.3">
      <c r="A2433" s="33" t="s">
        <v>314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1580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314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1580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2% of previous years benefits</v>
      </c>
    </row>
    <row r="2435" spans="1:8" x14ac:dyDescent="0.3">
      <c r="A2435" s="33" t="s">
        <v>314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1580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314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1580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314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1580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314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1580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3" t="s">
        <v>314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1580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314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1580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3" t="s">
        <v>314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1580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314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1580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">
      <c r="A2443" s="33" t="s">
        <v>314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1580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33" t="s">
        <v>314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1580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3.4000000000000002E-2</v>
      </c>
    </row>
    <row r="2445" spans="1:8" x14ac:dyDescent="0.3">
      <c r="A2445" s="33" t="s">
        <v>314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1580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Salary increase: -0.59% to 5.13%</v>
      </c>
    </row>
    <row r="2446" spans="1:8" x14ac:dyDescent="0.3">
      <c r="A2446" s="33" t="s">
        <v>314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1580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110</v>
      </c>
    </row>
    <row r="2447" spans="1:8" x14ac:dyDescent="0.3">
      <c r="A2447" s="33" t="s">
        <v>314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1580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108-109</v>
      </c>
    </row>
    <row r="2448" spans="1:8" x14ac:dyDescent="0.3">
      <c r="A2448" s="33" t="s">
        <v>314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1580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33" t="s">
        <v>314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1580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314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1580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Generational Projection with Unisex Social Security Data Scale</v>
      </c>
    </row>
    <row r="2451" spans="1:8" x14ac:dyDescent="0.3">
      <c r="A2451" s="33" t="s">
        <v>314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1580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General Employees male: 1yr, Police and Fire female :1yr</v>
      </c>
    </row>
    <row r="2452" spans="1:8" x14ac:dyDescent="0.3">
      <c r="A2452" s="33" t="s">
        <v>314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1580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314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1580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33" t="s">
        <v>314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1580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Tier 1/ Tier2: 20 years; OPSRP Benefits: 16 years</v>
      </c>
    </row>
    <row r="2455" spans="1:8" x14ac:dyDescent="0.3">
      <c r="A2455" s="33" t="s">
        <v>314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1580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3" t="s">
        <v>314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1580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33" t="s">
        <v>314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1580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3" t="s">
        <v>314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1580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33" t="s">
        <v>314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1580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3" t="s">
        <v>314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1580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314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1580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3" t="s">
        <v>314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1580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7.5864462248881055E-4</v>
      </c>
    </row>
    <row r="2463" spans="1:8" x14ac:dyDescent="0.3">
      <c r="A2463" s="33" t="s">
        <v>314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1580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3" t="s">
        <v>314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1580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85001300000</v>
      </c>
    </row>
    <row r="2465" spans="1:8" x14ac:dyDescent="0.3">
      <c r="A2465" s="33" t="s">
        <v>314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1580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98401400000</v>
      </c>
    </row>
    <row r="2466" spans="1:8" x14ac:dyDescent="0.3">
      <c r="A2466" s="33" t="s">
        <v>314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1580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13400100000</v>
      </c>
    </row>
    <row r="2467" spans="1:8" x14ac:dyDescent="0.3">
      <c r="A2467" s="33" t="s">
        <v>314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1580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0.86399999999999999</v>
      </c>
    </row>
    <row r="2468" spans="1:8" x14ac:dyDescent="0.3">
      <c r="A2468" s="33" t="s">
        <v>314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1580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12684100000</v>
      </c>
    </row>
    <row r="2469" spans="1:8" x14ac:dyDescent="0.3">
      <c r="A2469" s="33" t="s">
        <v>314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1580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-8642600000</v>
      </c>
    </row>
    <row r="2470" spans="1:8" x14ac:dyDescent="0.3">
      <c r="A2470" s="33" t="s">
        <v>314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1580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3" t="s">
        <v>314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1580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314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1580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314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1580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314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1580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314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1580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314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1580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314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1580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314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1580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589500000</v>
      </c>
    </row>
    <row r="2479" spans="1:8" x14ac:dyDescent="0.3">
      <c r="A2479" s="33" t="s">
        <v>314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1580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314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1580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314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1580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314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1580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314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1580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314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1580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3" t="s">
        <v>314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1580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314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1580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3" t="s">
        <v>314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1580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314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1580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50400000</v>
      </c>
    </row>
    <row r="2489" spans="1:8" x14ac:dyDescent="0.3">
      <c r="A2489" s="33" t="s">
        <v>314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1580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314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1580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314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1580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1437400000</v>
      </c>
    </row>
    <row r="2492" spans="1:8" x14ac:dyDescent="0.3">
      <c r="A2492" s="33" t="s">
        <v>314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1580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-8005599999.999999</v>
      </c>
    </row>
    <row r="2493" spans="1:8" x14ac:dyDescent="0.3">
      <c r="A2493" s="33" t="s">
        <v>314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1580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314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1580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314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1580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314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1580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314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1580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314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1580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1872100000</v>
      </c>
    </row>
    <row r="2499" spans="1:8" x14ac:dyDescent="0.3">
      <c r="A2499" s="33" t="s">
        <v>314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1580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314</v>
      </c>
      <c r="B2500" s="33">
        <v>25</v>
      </c>
      <c r="C2500" s="33">
        <f t="shared" si="5068"/>
        <v>3</v>
      </c>
      <c r="E2500" s="33">
        <f t="shared" ref="E2500" si="5126">plan_id</f>
        <v>1580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33" t="s">
        <v>314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1580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Milliman</v>
      </c>
    </row>
    <row r="2502" spans="1:8" x14ac:dyDescent="0.3">
      <c r="A2502" s="33" t="s">
        <v>314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1580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3" t="s">
        <v>314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1580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Tier 1/Tier 2 (Pre-Rate &amp; Post Rate Collar): 16.67%; OPSRP - Pre-Rate &amp; Post Rate Collar: 11.10%</v>
      </c>
    </row>
    <row r="2504" spans="1:8" x14ac:dyDescent="0.3">
      <c r="A2504" s="33" t="s">
        <v>314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1580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Tier 1/Tier 2 (Pre-Rate &amp; Post Rate Collar): 0.06%</v>
      </c>
    </row>
    <row r="2505" spans="1:8" x14ac:dyDescent="0.3">
      <c r="A2505" s="33" t="s">
        <v>314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1580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3" t="s">
        <v>314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1580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Tier 1/Tier 2 - Pre-Rate Collar:12.59%, Post Rate Collar: 13.20%; OPSRP - Pre-Rate &amp; Post Rate Collar: 2.62%</v>
      </c>
    </row>
    <row r="2507" spans="1:8" x14ac:dyDescent="0.3">
      <c r="A2507" s="33" t="s">
        <v>314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1580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Tier 1/Tier 2 - Pre-Rate Collar:12.59%, Post Rate Collar: 13.20%; OPSRP - Pre-Rate &amp; Post Rate Collar: 2.62%</v>
      </c>
    </row>
    <row r="2508" spans="1:8" x14ac:dyDescent="0.3">
      <c r="A2508" s="33" t="s">
        <v>314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1580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314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1580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2203900000</v>
      </c>
    </row>
    <row r="2510" spans="1:8" x14ac:dyDescent="0.3">
      <c r="A2510" s="33" t="s">
        <v>314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1580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8400000</v>
      </c>
    </row>
    <row r="2511" spans="1:8" x14ac:dyDescent="0.3">
      <c r="A2511" s="33" t="s">
        <v>314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1580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314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1580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314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1580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314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1580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314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1580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Tier 1/Tier 2 - Pre-Rate Collar: 29.26%, Post Rate Collar: 29.87%; OPSRP - Pre-Rate &amp; Post Rate Collar: 13.72%</v>
      </c>
    </row>
    <row r="2516" spans="1:8" x14ac:dyDescent="0.3">
      <c r="A2516" s="33" t="s">
        <v>314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1580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Judges:7%, All Others: Tier 1/Tier 2 members contributed 2.5%, OPSRP: 0.75%</v>
      </c>
    </row>
    <row r="2517" spans="1:8" x14ac:dyDescent="0.3">
      <c r="A2517" s="33" t="s">
        <v>314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1580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314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1580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314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1580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314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1580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1&amp;2: 1.00% - 3.75%, Based on membership; OPSRP: FAS times Yrs of CS attributable to fire and police times 1.8%+ all other years of retirement credit times 1.5%</v>
      </c>
    </row>
    <row r="2521" spans="1:8" x14ac:dyDescent="0.3">
      <c r="A2521" s="33" t="s">
        <v>314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1580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3" t="s">
        <v>314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1580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3" t="s">
        <v>314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1580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1.25% on the first $60,000 of annual benefit and 0.15% on amounts above $60,000 of annual benefit.</v>
      </c>
    </row>
    <row r="2524" spans="1:8" x14ac:dyDescent="0.3">
      <c r="A2524" s="33" t="s">
        <v>314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1580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314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1580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2% of previous years benefits</v>
      </c>
    </row>
    <row r="2526" spans="1:8" x14ac:dyDescent="0.3">
      <c r="A2526" s="33" t="s">
        <v>314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1580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314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1580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314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1580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314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1580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3" t="s">
        <v>314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1580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314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1580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3" t="s">
        <v>314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1580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314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1580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">
      <c r="A2534" s="33" t="s">
        <v>314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1580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33" t="s">
        <v>314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1580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3.4000000000000002E-2</v>
      </c>
    </row>
    <row r="2536" spans="1:8" x14ac:dyDescent="0.3">
      <c r="A2536" s="33" t="s">
        <v>314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1580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Salary increase: 0.06% to 6.12%</v>
      </c>
    </row>
    <row r="2537" spans="1:8" x14ac:dyDescent="0.3">
      <c r="A2537" s="33" t="s">
        <v>314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1580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112</v>
      </c>
    </row>
    <row r="2538" spans="1:8" x14ac:dyDescent="0.3">
      <c r="A2538" s="33" t="s">
        <v>314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1580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109-110</v>
      </c>
    </row>
    <row r="2539" spans="1:8" x14ac:dyDescent="0.3">
      <c r="A2539" s="33" t="s">
        <v>314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1580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33" t="s">
        <v>314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1580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314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1580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Generational Projection with Unisex Social Security Data Scale</v>
      </c>
    </row>
    <row r="2542" spans="1:8" x14ac:dyDescent="0.3">
      <c r="A2542" s="33" t="s">
        <v>314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1580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6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General Employees male: 1yr, Police and Fire female :1yr</v>
      </c>
    </row>
    <row r="2543" spans="1:8" x14ac:dyDescent="0.3">
      <c r="A2543" s="33" t="s">
        <v>314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1580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314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1580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33" t="s">
        <v>314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1580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Tier 1/ Tier2: 20 years; OPSRP Benefits: 16 years</v>
      </c>
    </row>
    <row r="2546" spans="1:8" x14ac:dyDescent="0.3">
      <c r="A2546" s="33" t="s">
        <v>314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1580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3" t="s">
        <v>314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1580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33" t="s">
        <v>314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1580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3" t="s">
        <v>314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1580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33" t="s">
        <v>314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1580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3" t="s">
        <v>314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1580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3" t="s">
        <v>314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1580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3" t="s">
        <v>314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1580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8.1588792485871213E-4</v>
      </c>
    </row>
    <row r="2554" spans="1:8" x14ac:dyDescent="0.3">
      <c r="A2554" s="33" t="s">
        <v>314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1580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3" t="s">
        <v>314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1580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81074000000</v>
      </c>
    </row>
    <row r="2556" spans="1:8" x14ac:dyDescent="0.3">
      <c r="A2556" s="33" t="s">
        <v>314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1580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102908800000</v>
      </c>
    </row>
    <row r="2557" spans="1:8" x14ac:dyDescent="0.3">
      <c r="A2557" s="33" t="s">
        <v>314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1580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21834800000</v>
      </c>
    </row>
    <row r="2558" spans="1:8" x14ac:dyDescent="0.3">
      <c r="A2558" s="33" t="s">
        <v>314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1580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0.78800000000000003</v>
      </c>
    </row>
    <row r="2559" spans="1:8" x14ac:dyDescent="0.3">
      <c r="A2559" s="33" t="s">
        <v>314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1580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13856600000</v>
      </c>
    </row>
    <row r="2560" spans="1:8" x14ac:dyDescent="0.3">
      <c r="A2560" s="33" t="s">
        <v>314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1580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6560300000</v>
      </c>
    </row>
    <row r="2561" spans="1:8" x14ac:dyDescent="0.3">
      <c r="A2561" s="33" t="s">
        <v>314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1580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3" t="s">
        <v>314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1580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314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1580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314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1580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314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1580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314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1580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314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1580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314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1580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314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1580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811300000</v>
      </c>
    </row>
    <row r="2570" spans="1:8" x14ac:dyDescent="0.3">
      <c r="A2570" s="33" t="s">
        <v>314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1580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314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1580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314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1580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314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1580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314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1580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314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1580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3" t="s">
        <v>314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1580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314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1580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3" t="s">
        <v>314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1580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314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1580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48300000</v>
      </c>
    </row>
    <row r="2580" spans="1:8" x14ac:dyDescent="0.3">
      <c r="A2580" s="33" t="s">
        <v>314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1580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314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1580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314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1580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1519500000</v>
      </c>
    </row>
    <row r="2583" spans="1:8" x14ac:dyDescent="0.3">
      <c r="A2583" s="33" t="s">
        <v>314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1580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7994699999.999999</v>
      </c>
    </row>
    <row r="2584" spans="1:8" x14ac:dyDescent="0.3">
      <c r="A2584" s="33" t="s">
        <v>314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1580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314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1580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314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1580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314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1580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314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1580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1187200000</v>
      </c>
    </row>
    <row r="2589" spans="1:8" x14ac:dyDescent="0.3">
      <c r="A2589" s="33" t="s">
        <v>314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1580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1317700000</v>
      </c>
    </row>
    <row r="2590" spans="1:8" x14ac:dyDescent="0.3">
      <c r="A2590" s="33" t="s">
        <v>314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1580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847</v>
      </c>
      <c r="B2591" s="33">
        <v>3</v>
      </c>
      <c r="C2591" s="33">
        <v>3</v>
      </c>
      <c r="E2591" s="33">
        <f t="shared" ref="E2591" si="5311">plan_id</f>
        <v>1580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3" t="s">
        <v>847</v>
      </c>
      <c r="B2592" s="33">
        <f>B2591</f>
        <v>3</v>
      </c>
      <c r="C2592" s="33">
        <f>C2591+1</f>
        <v>4</v>
      </c>
      <c r="E2592" s="33">
        <f t="shared" ref="E2592" si="5313">plan_id</f>
        <v>1580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681500000</v>
      </c>
    </row>
    <row r="2593" spans="1:8" x14ac:dyDescent="0.3">
      <c r="A2593" s="33" t="s">
        <v>847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1580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644698999.99999988</v>
      </c>
    </row>
    <row r="2594" spans="1:8" x14ac:dyDescent="0.3">
      <c r="A2594" s="33" t="s">
        <v>847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1580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36801000.000000119</v>
      </c>
    </row>
    <row r="2595" spans="1:8" x14ac:dyDescent="0.3">
      <c r="A2595" s="33" t="s">
        <v>847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1580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3" t="s">
        <v>847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1580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0.94599999999999984</v>
      </c>
    </row>
    <row r="2597" spans="1:8" x14ac:dyDescent="0.3">
      <c r="A2597" s="33" t="s">
        <v>847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1580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847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1580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847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1580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847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1580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847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1580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39772700000</v>
      </c>
    </row>
    <row r="2602" spans="1:8" x14ac:dyDescent="0.3">
      <c r="A2602" s="33" t="s">
        <v>847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1580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45386100000</v>
      </c>
    </row>
    <row r="2603" spans="1:8" x14ac:dyDescent="0.3">
      <c r="A2603" s="33" t="s">
        <v>847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1580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5613400000</v>
      </c>
    </row>
    <row r="2604" spans="1:8" x14ac:dyDescent="0.3">
      <c r="A2604" s="33" t="s">
        <v>847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1580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0.876</v>
      </c>
    </row>
    <row r="2605" spans="1:8" x14ac:dyDescent="0.3">
      <c r="A2605" s="33" t="s">
        <v>847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1580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6254000000</v>
      </c>
    </row>
    <row r="2606" spans="1:8" x14ac:dyDescent="0.3">
      <c r="A2606" s="33" t="s">
        <v>847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1580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847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1580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0.1089702590342181</v>
      </c>
    </row>
    <row r="2608" spans="1:8" x14ac:dyDescent="0.3">
      <c r="A2608" s="33" t="s">
        <v>847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1580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37405697881</v>
      </c>
    </row>
    <row r="2609" spans="1:8" x14ac:dyDescent="0.3">
      <c r="A2609" s="33" t="s">
        <v>847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1580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0.82416638312170465</v>
      </c>
    </row>
    <row r="2610" spans="1:8" x14ac:dyDescent="0.3">
      <c r="A2610" s="33" t="s">
        <v>847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1580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847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1580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847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1580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847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1580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1578497193</v>
      </c>
    </row>
    <row r="2614" spans="1:8" x14ac:dyDescent="0.3">
      <c r="A2614" s="33" t="s">
        <v>847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1580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46243701</v>
      </c>
    </row>
    <row r="2615" spans="1:8" x14ac:dyDescent="0.3">
      <c r="A2615" s="33" t="s">
        <v>847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1580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25374819</v>
      </c>
    </row>
    <row r="2616" spans="1:8" x14ac:dyDescent="0.3">
      <c r="A2616" s="33" t="s">
        <v>847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1580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847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1580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1650115713</v>
      </c>
    </row>
    <row r="2618" spans="1:8" x14ac:dyDescent="0.3">
      <c r="A2618" s="33" t="s">
        <v>847</v>
      </c>
      <c r="B2618" s="33">
        <f>B2591+1</f>
        <v>4</v>
      </c>
      <c r="C2618" s="33">
        <f>C2591</f>
        <v>3</v>
      </c>
      <c r="E2618" s="33">
        <f t="shared" ref="E2618" si="5368">plan_id</f>
        <v>1580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3" t="s">
        <v>847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1580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665900000</v>
      </c>
    </row>
    <row r="2620" spans="1:8" x14ac:dyDescent="0.3">
      <c r="A2620" s="33" t="s">
        <v>847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1580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648586600</v>
      </c>
    </row>
    <row r="2621" spans="1:8" x14ac:dyDescent="0.3">
      <c r="A2621" s="33" t="s">
        <v>847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1580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17313400</v>
      </c>
    </row>
    <row r="2622" spans="1:8" x14ac:dyDescent="0.3">
      <c r="A2622" s="33" t="s">
        <v>847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1580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3" t="s">
        <v>847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1580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0.97399999999999998</v>
      </c>
    </row>
    <row r="2624" spans="1:8" x14ac:dyDescent="0.3">
      <c r="A2624" s="33" t="s">
        <v>847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1580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847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1580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847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1580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847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1580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847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1580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35446900000</v>
      </c>
    </row>
    <row r="2629" spans="1:8" x14ac:dyDescent="0.3">
      <c r="A2629" s="33" t="s">
        <v>847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1580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38947000000</v>
      </c>
    </row>
    <row r="2630" spans="1:8" x14ac:dyDescent="0.3">
      <c r="A2630" s="33" t="s">
        <v>847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1580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3500100000</v>
      </c>
    </row>
    <row r="2631" spans="1:8" x14ac:dyDescent="0.3">
      <c r="A2631" s="33" t="s">
        <v>847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1580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0.91</v>
      </c>
    </row>
    <row r="2632" spans="1:8" x14ac:dyDescent="0.3">
      <c r="A2632" s="33" t="s">
        <v>847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1580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6383500000</v>
      </c>
    </row>
    <row r="2633" spans="1:8" x14ac:dyDescent="0.3">
      <c r="A2633" s="33" t="s">
        <v>847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1580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847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1580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0.1043158142085063</v>
      </c>
    </row>
    <row r="2635" spans="1:8" x14ac:dyDescent="0.3">
      <c r="A2635" s="33" t="s">
        <v>847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1580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34633586322</v>
      </c>
    </row>
    <row r="2636" spans="1:8" x14ac:dyDescent="0.3">
      <c r="A2636" s="33" t="s">
        <v>847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1580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0.88924914170539449</v>
      </c>
    </row>
    <row r="2637" spans="1:8" x14ac:dyDescent="0.3">
      <c r="A2637" s="33" t="s">
        <v>847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1580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847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1580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847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1580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847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1580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1688072888</v>
      </c>
    </row>
    <row r="2641" spans="1:8" x14ac:dyDescent="0.3">
      <c r="A2641" s="33" t="s">
        <v>847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1580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46086912</v>
      </c>
    </row>
    <row r="2642" spans="1:8" x14ac:dyDescent="0.3">
      <c r="A2642" s="33" t="s">
        <v>847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1580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17456752</v>
      </c>
    </row>
    <row r="2643" spans="1:8" x14ac:dyDescent="0.3">
      <c r="A2643" s="33" t="s">
        <v>847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1580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847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1580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1751616552</v>
      </c>
    </row>
    <row r="2645" spans="1:8" x14ac:dyDescent="0.3">
      <c r="A2645" s="33" t="s">
        <v>847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1580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3" t="s">
        <v>847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1580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537400000</v>
      </c>
    </row>
    <row r="2647" spans="1:8" x14ac:dyDescent="0.3">
      <c r="A2647" s="33" t="s">
        <v>847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1580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535787800</v>
      </c>
    </row>
    <row r="2648" spans="1:8" x14ac:dyDescent="0.3">
      <c r="A2648" s="33" t="s">
        <v>847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1580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1612200</v>
      </c>
    </row>
    <row r="2649" spans="1:8" x14ac:dyDescent="0.3">
      <c r="A2649" s="33" t="s">
        <v>847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1580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3" t="s">
        <v>847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1580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0.997</v>
      </c>
    </row>
    <row r="2651" spans="1:8" x14ac:dyDescent="0.3">
      <c r="A2651" s="33" t="s">
        <v>847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1580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847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1580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847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1580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847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1580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847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1580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42753300000</v>
      </c>
    </row>
    <row r="2656" spans="1:8" x14ac:dyDescent="0.3">
      <c r="A2656" s="33" t="s">
        <v>847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1580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44078100000</v>
      </c>
    </row>
    <row r="2657" spans="1:8" x14ac:dyDescent="0.3">
      <c r="A2657" s="33" t="s">
        <v>847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1580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1324800000</v>
      </c>
    </row>
    <row r="2658" spans="1:8" x14ac:dyDescent="0.3">
      <c r="A2658" s="33" t="s">
        <v>847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1580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</v>
      </c>
    </row>
    <row r="2659" spans="1:8" x14ac:dyDescent="0.3">
      <c r="A2659" s="33" t="s">
        <v>847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1580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6248500000</v>
      </c>
    </row>
    <row r="2660" spans="1:8" x14ac:dyDescent="0.3">
      <c r="A2660" s="33" t="s">
        <v>847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1580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847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1580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8.6004641113867325E-2</v>
      </c>
    </row>
    <row r="2662" spans="1:8" x14ac:dyDescent="0.3">
      <c r="A2662" s="33" t="s">
        <v>847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1580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37041242215</v>
      </c>
    </row>
    <row r="2663" spans="1:8" x14ac:dyDescent="0.3">
      <c r="A2663" s="33" t="s">
        <v>847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1580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0.84035478423525511</v>
      </c>
    </row>
    <row r="2664" spans="1:8" x14ac:dyDescent="0.3">
      <c r="A2664" s="33" t="s">
        <v>847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1580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847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1580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847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1580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847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1580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2000324195</v>
      </c>
    </row>
    <row r="2668" spans="1:8" x14ac:dyDescent="0.3">
      <c r="A2668" s="33" t="s">
        <v>847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1580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42640295</v>
      </c>
    </row>
    <row r="2669" spans="1:8" x14ac:dyDescent="0.3">
      <c r="A2669" s="33" t="s">
        <v>847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1580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16784817</v>
      </c>
    </row>
    <row r="2670" spans="1:8" x14ac:dyDescent="0.3">
      <c r="A2670" s="33" t="s">
        <v>847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1580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847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1580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2059749307</v>
      </c>
    </row>
    <row r="2672" spans="1:8" x14ac:dyDescent="0.3">
      <c r="A2672" s="33" t="s">
        <v>847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1580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3" t="s">
        <v>847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1580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354000000</v>
      </c>
    </row>
    <row r="2674" spans="1:8" x14ac:dyDescent="0.3">
      <c r="A2674" s="33" t="s">
        <v>847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1580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352938000</v>
      </c>
    </row>
    <row r="2675" spans="1:8" x14ac:dyDescent="0.3">
      <c r="A2675" s="33" t="s">
        <v>847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1580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1062000</v>
      </c>
    </row>
    <row r="2676" spans="1:8" x14ac:dyDescent="0.3">
      <c r="A2676" s="33" t="s">
        <v>847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1580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3" t="s">
        <v>847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1580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0.997</v>
      </c>
    </row>
    <row r="2678" spans="1:8" x14ac:dyDescent="0.3">
      <c r="A2678" s="33" t="s">
        <v>847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1580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847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1580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847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1580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847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1580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847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1580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45581100000</v>
      </c>
    </row>
    <row r="2683" spans="1:8" x14ac:dyDescent="0.3">
      <c r="A2683" s="33" t="s">
        <v>847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1580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47398600000</v>
      </c>
    </row>
    <row r="2684" spans="1:8" x14ac:dyDescent="0.3">
      <c r="A2684" s="33" t="s">
        <v>847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1580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1817500000</v>
      </c>
    </row>
    <row r="2685" spans="1:8" x14ac:dyDescent="0.3">
      <c r="A2685" s="33" t="s">
        <v>847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1580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0.96199999999999997</v>
      </c>
    </row>
    <row r="2686" spans="1:8" x14ac:dyDescent="0.3">
      <c r="A2686" s="33" t="s">
        <v>847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1580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6772450000</v>
      </c>
    </row>
    <row r="2687" spans="1:8" x14ac:dyDescent="0.3">
      <c r="A2687" s="33" t="s">
        <v>847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1580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847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1580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5.2270596313003417E-2</v>
      </c>
    </row>
    <row r="2689" spans="1:8" x14ac:dyDescent="0.3">
      <c r="A2689" s="33" t="s">
        <v>847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1580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45011387915</v>
      </c>
    </row>
    <row r="2690" spans="1:8" x14ac:dyDescent="0.3">
      <c r="A2690" s="33" t="s">
        <v>847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1580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0.9496353882815104</v>
      </c>
    </row>
    <row r="2691" spans="1:8" x14ac:dyDescent="0.3">
      <c r="A2691" s="33" t="s">
        <v>847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1580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847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1580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847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1580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847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1580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2518986074</v>
      </c>
    </row>
    <row r="2695" spans="1:8" x14ac:dyDescent="0.3">
      <c r="A2695" s="33" t="s">
        <v>847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1580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42193518</v>
      </c>
    </row>
    <row r="2696" spans="1:8" x14ac:dyDescent="0.3">
      <c r="A2696" s="33" t="s">
        <v>847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1580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24874201</v>
      </c>
    </row>
    <row r="2697" spans="1:8" x14ac:dyDescent="0.3">
      <c r="A2697" s="33" t="s">
        <v>847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1580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847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1580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2586053793</v>
      </c>
    </row>
    <row r="2699" spans="1:8" x14ac:dyDescent="0.3">
      <c r="A2699" s="33" t="s">
        <v>847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1580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3" t="s">
        <v>847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1580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488500000</v>
      </c>
    </row>
    <row r="2701" spans="1:8" x14ac:dyDescent="0.3">
      <c r="A2701" s="33" t="s">
        <v>847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1580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492408000</v>
      </c>
    </row>
    <row r="2702" spans="1:8" x14ac:dyDescent="0.3">
      <c r="A2702" s="33" t="s">
        <v>847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1580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-3908000</v>
      </c>
    </row>
    <row r="2703" spans="1:8" x14ac:dyDescent="0.3">
      <c r="A2703" s="33" t="s">
        <v>847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1580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3" t="s">
        <v>847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1580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1.008</v>
      </c>
    </row>
    <row r="2705" spans="1:8" x14ac:dyDescent="0.3">
      <c r="A2705" s="33" t="s">
        <v>847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1580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847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1580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847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1580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847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1580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847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1580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51382600000</v>
      </c>
    </row>
    <row r="2710" spans="1:8" x14ac:dyDescent="0.3">
      <c r="A2710" s="33" t="s">
        <v>847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1580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49294000000</v>
      </c>
    </row>
    <row r="2711" spans="1:8" x14ac:dyDescent="0.3">
      <c r="A2711" s="33" t="s">
        <v>847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1580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-2088600000</v>
      </c>
    </row>
    <row r="2712" spans="1:8" x14ac:dyDescent="0.3">
      <c r="A2712" s="33" t="s">
        <v>847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1580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1.042</v>
      </c>
    </row>
    <row r="2713" spans="1:8" x14ac:dyDescent="0.3">
      <c r="A2713" s="33" t="s">
        <v>847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1580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6791900000</v>
      </c>
    </row>
    <row r="2714" spans="1:8" x14ac:dyDescent="0.3">
      <c r="A2714" s="33" t="s">
        <v>847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1580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847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1580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7.192390936262312E-2</v>
      </c>
    </row>
    <row r="2716" spans="1:8" x14ac:dyDescent="0.3">
      <c r="A2716" s="33" t="s">
        <v>847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1580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49063421542</v>
      </c>
    </row>
    <row r="2717" spans="1:8" x14ac:dyDescent="0.3">
      <c r="A2717" s="33" t="s">
        <v>847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1580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0.99532238288635533</v>
      </c>
    </row>
    <row r="2718" spans="1:8" x14ac:dyDescent="0.3">
      <c r="A2718" s="33" t="s">
        <v>847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1580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847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1580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847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1580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847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1580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2364400988</v>
      </c>
    </row>
    <row r="2722" spans="1:8" x14ac:dyDescent="0.3">
      <c r="A2722" s="33" t="s">
        <v>847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1580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60241863</v>
      </c>
    </row>
    <row r="2723" spans="1:8" x14ac:dyDescent="0.3">
      <c r="A2723" s="33" t="s">
        <v>847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1580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27744201</v>
      </c>
    </row>
    <row r="2724" spans="1:8" x14ac:dyDescent="0.3">
      <c r="A2724" s="33" t="s">
        <v>847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1580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847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1580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2452387052</v>
      </c>
    </row>
    <row r="2726" spans="1:8" x14ac:dyDescent="0.3">
      <c r="A2726" s="33" t="s">
        <v>847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1580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3" t="s">
        <v>847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1580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938600000</v>
      </c>
    </row>
    <row r="2728" spans="1:8" x14ac:dyDescent="0.3">
      <c r="A2728" s="33" t="s">
        <v>847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1580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523738799.99999994</v>
      </c>
    </row>
    <row r="2729" spans="1:8" x14ac:dyDescent="0.3">
      <c r="A2729" s="33" t="s">
        <v>847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1580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414861200.00000006</v>
      </c>
    </row>
    <row r="2730" spans="1:8" x14ac:dyDescent="0.3">
      <c r="A2730" s="33" t="s">
        <v>847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1580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3" t="s">
        <v>847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1580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0.55799999999999994</v>
      </c>
    </row>
    <row r="2732" spans="1:8" x14ac:dyDescent="0.3">
      <c r="A2732" s="33" t="s">
        <v>847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1580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847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1580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847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1580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847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1580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847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1580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56616500000</v>
      </c>
    </row>
    <row r="2737" spans="1:8" x14ac:dyDescent="0.3">
      <c r="A2737" s="33" t="s">
        <v>847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1580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51252900000</v>
      </c>
    </row>
    <row r="2738" spans="1:8" x14ac:dyDescent="0.3">
      <c r="A2738" s="33" t="s">
        <v>847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1580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-5363500000</v>
      </c>
    </row>
    <row r="2739" spans="1:8" x14ac:dyDescent="0.3">
      <c r="A2739" s="33" t="s">
        <v>847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1580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1.105</v>
      </c>
    </row>
    <row r="2740" spans="1:8" x14ac:dyDescent="0.3">
      <c r="A2740" s="33" t="s">
        <v>847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1580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7326800000</v>
      </c>
    </row>
    <row r="2741" spans="1:8" x14ac:dyDescent="0.3">
      <c r="A2741" s="33" t="s">
        <v>847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1580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847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1580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0.12810503903477644</v>
      </c>
    </row>
    <row r="2743" spans="1:8" x14ac:dyDescent="0.3">
      <c r="A2743" s="33" t="s">
        <v>847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1580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54343197104</v>
      </c>
    </row>
    <row r="2744" spans="1:8" x14ac:dyDescent="0.3">
      <c r="A2744" s="33" t="s">
        <v>847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1580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1.0602950682595522</v>
      </c>
    </row>
    <row r="2745" spans="1:8" x14ac:dyDescent="0.3">
      <c r="A2745" s="33" t="s">
        <v>847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1580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847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1580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847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1580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1114100000</v>
      </c>
    </row>
    <row r="2748" spans="1:8" x14ac:dyDescent="0.3">
      <c r="A2748" s="33" t="s">
        <v>847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1580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2371628570</v>
      </c>
    </row>
    <row r="2749" spans="1:8" x14ac:dyDescent="0.3">
      <c r="A2749" s="33" t="s">
        <v>847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1580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33172837</v>
      </c>
    </row>
    <row r="2750" spans="1:8" x14ac:dyDescent="0.3">
      <c r="A2750" s="33" t="s">
        <v>847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1580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27582755</v>
      </c>
    </row>
    <row r="2751" spans="1:8" x14ac:dyDescent="0.3">
      <c r="A2751" s="33" t="s">
        <v>847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1580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847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1580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2432384162</v>
      </c>
    </row>
    <row r="2753" spans="1:8" x14ac:dyDescent="0.3">
      <c r="A2753" s="33" t="s">
        <v>847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1580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847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1580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805700000</v>
      </c>
    </row>
    <row r="2755" spans="1:8" x14ac:dyDescent="0.3">
      <c r="A2755" s="33" t="s">
        <v>847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1580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596218000</v>
      </c>
    </row>
    <row r="2756" spans="1:8" x14ac:dyDescent="0.3">
      <c r="A2756" s="33" t="s">
        <v>847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1580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209482000</v>
      </c>
    </row>
    <row r="2757" spans="1:8" x14ac:dyDescent="0.3">
      <c r="A2757" s="33" t="s">
        <v>847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1580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3" t="s">
        <v>847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1580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0.74</v>
      </c>
    </row>
    <row r="2759" spans="1:8" x14ac:dyDescent="0.3">
      <c r="A2759" s="33" t="s">
        <v>847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1580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847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1580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847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1580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847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1580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847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1580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59327800000</v>
      </c>
    </row>
    <row r="2764" spans="1:8" x14ac:dyDescent="0.3">
      <c r="A2764" s="33" t="s">
        <v>847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1580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52871200000</v>
      </c>
    </row>
    <row r="2765" spans="1:8" x14ac:dyDescent="0.3">
      <c r="A2765" s="33" t="s">
        <v>847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1580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-6456700000</v>
      </c>
    </row>
    <row r="2766" spans="1:8" x14ac:dyDescent="0.3">
      <c r="A2766" s="33" t="s">
        <v>847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1580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1.1220000000000001</v>
      </c>
    </row>
    <row r="2767" spans="1:8" x14ac:dyDescent="0.3">
      <c r="A2767" s="33" t="s">
        <v>847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1580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7721800000</v>
      </c>
    </row>
    <row r="2768" spans="1:8" x14ac:dyDescent="0.3">
      <c r="A2768" s="33" t="s">
        <v>847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1580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847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1580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0.10434095677173716</v>
      </c>
    </row>
    <row r="2770" spans="1:8" x14ac:dyDescent="0.3">
      <c r="A2770" s="33" t="s">
        <v>847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1580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62891942278</v>
      </c>
    </row>
    <row r="2771" spans="1:8" x14ac:dyDescent="0.3">
      <c r="A2771" s="33" t="s">
        <v>847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1580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1.189531205609103</v>
      </c>
    </row>
    <row r="2772" spans="1:8" x14ac:dyDescent="0.3">
      <c r="A2772" s="33" t="s">
        <v>847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1580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847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1580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847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1580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2373100000</v>
      </c>
    </row>
    <row r="2775" spans="1:8" x14ac:dyDescent="0.3">
      <c r="A2775" s="33" t="s">
        <v>847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1580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2574588942</v>
      </c>
    </row>
    <row r="2776" spans="1:8" x14ac:dyDescent="0.3">
      <c r="A2776" s="33" t="s">
        <v>847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1580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41222535</v>
      </c>
    </row>
    <row r="2777" spans="1:8" x14ac:dyDescent="0.3">
      <c r="A2777" s="33" t="s">
        <v>847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1580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35620392</v>
      </c>
    </row>
    <row r="2778" spans="1:8" x14ac:dyDescent="0.3">
      <c r="A2778" s="33" t="s">
        <v>847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1580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847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1580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2651431869</v>
      </c>
    </row>
    <row r="2780" spans="1:8" x14ac:dyDescent="0.3">
      <c r="A2780" s="33" t="s">
        <v>847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1580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847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1580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707400000</v>
      </c>
    </row>
    <row r="2782" spans="1:8" x14ac:dyDescent="0.3">
      <c r="A2782" s="33" t="s">
        <v>847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1580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707400000</v>
      </c>
    </row>
    <row r="2783" spans="1:8" x14ac:dyDescent="0.3">
      <c r="A2783" s="33" t="s">
        <v>847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1580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3" t="s">
        <v>847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1580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3" t="s">
        <v>847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1580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3" t="s">
        <v>847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1580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847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1580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847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1580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847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1580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847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1580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43520600000</v>
      </c>
    </row>
    <row r="2791" spans="1:8" x14ac:dyDescent="0.3">
      <c r="A2791" s="33" t="s">
        <v>847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1580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54259500000</v>
      </c>
    </row>
    <row r="2792" spans="1:8" x14ac:dyDescent="0.3">
      <c r="A2792" s="33" t="s">
        <v>847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1580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10738900000</v>
      </c>
    </row>
    <row r="2793" spans="1:8" x14ac:dyDescent="0.3">
      <c r="A2793" s="33" t="s">
        <v>847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1580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0.80200000000000005</v>
      </c>
    </row>
    <row r="2794" spans="1:8" x14ac:dyDescent="0.3">
      <c r="A2794" s="33" t="s">
        <v>847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1580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8130100000</v>
      </c>
    </row>
    <row r="2795" spans="1:8" x14ac:dyDescent="0.3">
      <c r="A2795" s="33" t="s">
        <v>847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1580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847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1580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8.7009999877000282E-2</v>
      </c>
    </row>
    <row r="2797" spans="1:8" x14ac:dyDescent="0.3">
      <c r="A2797" s="33" t="s">
        <v>847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1580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58010291731</v>
      </c>
    </row>
    <row r="2798" spans="1:8" x14ac:dyDescent="0.3">
      <c r="A2798" s="33" t="s">
        <v>847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1580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1.0691269129092602</v>
      </c>
    </row>
    <row r="2799" spans="1:8" x14ac:dyDescent="0.3">
      <c r="A2799" s="33" t="s">
        <v>847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1580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847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1580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847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1580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545300000</v>
      </c>
    </row>
    <row r="2802" spans="1:8" x14ac:dyDescent="0.3">
      <c r="A2802" s="33" t="s">
        <v>847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1580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2768305300</v>
      </c>
    </row>
    <row r="2803" spans="1:8" x14ac:dyDescent="0.3">
      <c r="A2803" s="33" t="s">
        <v>847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1580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50660781</v>
      </c>
    </row>
    <row r="2804" spans="1:8" x14ac:dyDescent="0.3">
      <c r="A2804" s="33" t="s">
        <v>847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1580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33050622</v>
      </c>
    </row>
    <row r="2805" spans="1:8" x14ac:dyDescent="0.3">
      <c r="A2805" s="33" t="s">
        <v>847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1580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847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1580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2852016703</v>
      </c>
    </row>
    <row r="2807" spans="1:8" x14ac:dyDescent="0.3">
      <c r="A2807" s="33" t="s">
        <v>847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1580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847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1580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630800000</v>
      </c>
    </row>
    <row r="2809" spans="1:8" x14ac:dyDescent="0.3">
      <c r="A2809" s="33" t="s">
        <v>847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1580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630800000</v>
      </c>
    </row>
    <row r="2810" spans="1:8" x14ac:dyDescent="0.3">
      <c r="A2810" s="33" t="s">
        <v>847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1580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3" t="s">
        <v>847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1580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3" t="s">
        <v>847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1580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3" t="s">
        <v>847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1580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847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1580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847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1580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847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1580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847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1580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48729200000</v>
      </c>
    </row>
    <row r="2818" spans="1:8" x14ac:dyDescent="0.3">
      <c r="A2818" s="33" t="s">
        <v>847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1580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56810600000</v>
      </c>
    </row>
    <row r="2819" spans="1:8" x14ac:dyDescent="0.3">
      <c r="A2819" s="33" t="s">
        <v>847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1580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8081400000</v>
      </c>
    </row>
    <row r="2820" spans="1:8" x14ac:dyDescent="0.3">
      <c r="A2820" s="33" t="s">
        <v>847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1580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0.85799999999999998</v>
      </c>
    </row>
    <row r="2821" spans="1:8" x14ac:dyDescent="0.3">
      <c r="A2821" s="33" t="s">
        <v>847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1580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8512200000.000001</v>
      </c>
    </row>
    <row r="2822" spans="1:8" x14ac:dyDescent="0.3">
      <c r="A2822" s="33" t="s">
        <v>847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1580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847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1580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7.4105401658795603E-2</v>
      </c>
    </row>
    <row r="2824" spans="1:8" x14ac:dyDescent="0.3">
      <c r="A2824" s="33" t="s">
        <v>847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1580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42904809144</v>
      </c>
    </row>
    <row r="2825" spans="1:8" x14ac:dyDescent="0.3">
      <c r="A2825" s="33" t="s">
        <v>847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1580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0.75522541821420652</v>
      </c>
    </row>
    <row r="2826" spans="1:8" x14ac:dyDescent="0.3">
      <c r="A2826" s="33" t="s">
        <v>847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1580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847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1580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847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1580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-15037500000</v>
      </c>
    </row>
    <row r="2829" spans="1:8" x14ac:dyDescent="0.3">
      <c r="A2829" s="33" t="s">
        <v>847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1580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2790218464</v>
      </c>
    </row>
    <row r="2830" spans="1:8" x14ac:dyDescent="0.3">
      <c r="A2830" s="33" t="s">
        <v>847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1580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36548963</v>
      </c>
    </row>
    <row r="2831" spans="1:8" x14ac:dyDescent="0.3">
      <c r="A2831" s="33" t="s">
        <v>847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1580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33653536</v>
      </c>
    </row>
    <row r="2832" spans="1:8" x14ac:dyDescent="0.3">
      <c r="A2832" s="33" t="s">
        <v>847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1580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847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1580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2860420963</v>
      </c>
    </row>
    <row r="2834" spans="1:8" x14ac:dyDescent="0.3">
      <c r="A2834" s="33" t="s">
        <v>847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1580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847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1580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472400000</v>
      </c>
    </row>
    <row r="2836" spans="1:8" x14ac:dyDescent="0.3">
      <c r="A2836" s="33" t="s">
        <v>847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1580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472400000</v>
      </c>
    </row>
    <row r="2837" spans="1:8" x14ac:dyDescent="0.3">
      <c r="A2837" s="33" t="s">
        <v>847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1580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3" t="s">
        <v>847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1580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3" t="s">
        <v>847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1580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3" t="s">
        <v>847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1580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847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1580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847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1580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847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1580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847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1580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51583600000</v>
      </c>
    </row>
    <row r="2845" spans="1:8" x14ac:dyDescent="0.3">
      <c r="A2845" s="33" t="s">
        <v>847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1580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59329500000</v>
      </c>
    </row>
    <row r="2846" spans="1:8" x14ac:dyDescent="0.3">
      <c r="A2846" s="33" t="s">
        <v>847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1580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7746000000</v>
      </c>
    </row>
    <row r="2847" spans="1:8" x14ac:dyDescent="0.3">
      <c r="A2847" s="33" t="s">
        <v>847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1580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0.86899999999999999</v>
      </c>
    </row>
    <row r="2848" spans="1:8" x14ac:dyDescent="0.3">
      <c r="A2848" s="33" t="s">
        <v>847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1580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8750100000</v>
      </c>
    </row>
    <row r="2849" spans="1:8" x14ac:dyDescent="0.3">
      <c r="A2849" s="33" t="s">
        <v>847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1580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847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1580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5.3987954423378018E-2</v>
      </c>
    </row>
    <row r="2851" spans="1:8" x14ac:dyDescent="0.3">
      <c r="A2851" s="33" t="s">
        <v>847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1580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47685014587</v>
      </c>
    </row>
    <row r="2852" spans="1:8" x14ac:dyDescent="0.3">
      <c r="A2852" s="33" t="s">
        <v>847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1580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0.80373194763144806</v>
      </c>
    </row>
    <row r="2853" spans="1:8" x14ac:dyDescent="0.3">
      <c r="A2853" s="33" t="s">
        <v>847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1580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847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1580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847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1580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3119500000</v>
      </c>
    </row>
    <row r="2856" spans="1:8" x14ac:dyDescent="0.3">
      <c r="A2856" s="33" t="s">
        <v>847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1580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2915568801</v>
      </c>
    </row>
    <row r="2857" spans="1:8" x14ac:dyDescent="0.3">
      <c r="A2857" s="33" t="s">
        <v>847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1580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25692404</v>
      </c>
    </row>
    <row r="2858" spans="1:8" x14ac:dyDescent="0.3">
      <c r="A2858" s="33" t="s">
        <v>847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1580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28512343</v>
      </c>
    </row>
    <row r="2859" spans="1:8" x14ac:dyDescent="0.3">
      <c r="A2859" s="33" t="s">
        <v>847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1580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847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1580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2969773548</v>
      </c>
    </row>
    <row r="2861" spans="1:8" x14ac:dyDescent="0.3">
      <c r="A2861" s="33" t="s">
        <v>847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1580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847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1580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779100000</v>
      </c>
    </row>
    <row r="2863" spans="1:8" x14ac:dyDescent="0.3">
      <c r="A2863" s="33" t="s">
        <v>847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1580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646653000</v>
      </c>
    </row>
    <row r="2864" spans="1:8" x14ac:dyDescent="0.3">
      <c r="A2864" s="33" t="s">
        <v>847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1580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132447000</v>
      </c>
    </row>
    <row r="2865" spans="1:8" x14ac:dyDescent="0.3">
      <c r="A2865" s="33" t="s">
        <v>847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1580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3" t="s">
        <v>847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1580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</v>
      </c>
    </row>
    <row r="2867" spans="1:8" x14ac:dyDescent="0.3">
      <c r="A2867" s="33" t="s">
        <v>847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1580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847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1580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847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1580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847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1580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847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1580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50168200000</v>
      </c>
    </row>
    <row r="2872" spans="1:8" x14ac:dyDescent="0.3">
      <c r="A2872" s="33" t="s">
        <v>847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1580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61198400000</v>
      </c>
    </row>
    <row r="2873" spans="1:8" x14ac:dyDescent="0.3">
      <c r="A2873" s="33" t="s">
        <v>847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1580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11030200000</v>
      </c>
    </row>
    <row r="2874" spans="1:8" x14ac:dyDescent="0.3">
      <c r="A2874" s="33" t="s">
        <v>847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1580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0.82</v>
      </c>
    </row>
    <row r="2875" spans="1:8" x14ac:dyDescent="0.3">
      <c r="A2875" s="33" t="s">
        <v>847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1580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8550500000</v>
      </c>
    </row>
    <row r="2876" spans="1:8" x14ac:dyDescent="0.3">
      <c r="A2876" s="33" t="s">
        <v>847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1580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847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1580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9.111747851002866E-2</v>
      </c>
    </row>
    <row r="2878" spans="1:8" x14ac:dyDescent="0.3">
      <c r="A2878" s="33" t="s">
        <v>847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1580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55794848695</v>
      </c>
    </row>
    <row r="2879" spans="1:8" x14ac:dyDescent="0.3">
      <c r="A2879" s="33" t="s">
        <v>847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1580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0.91170436964038271</v>
      </c>
    </row>
    <row r="2880" spans="1:8" x14ac:dyDescent="0.3">
      <c r="A2880" s="33" t="s">
        <v>847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1580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847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1580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847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1580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1253100000</v>
      </c>
    </row>
    <row r="2883" spans="1:8" x14ac:dyDescent="0.3">
      <c r="A2883" s="33" t="s">
        <v>847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1580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3203938769</v>
      </c>
    </row>
    <row r="2884" spans="1:8" x14ac:dyDescent="0.3">
      <c r="A2884" s="33" t="s">
        <v>847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1580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26487226</v>
      </c>
    </row>
    <row r="2885" spans="1:8" x14ac:dyDescent="0.3">
      <c r="A2885" s="33" t="s">
        <v>847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1580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29256747</v>
      </c>
    </row>
    <row r="2886" spans="1:8" x14ac:dyDescent="0.3">
      <c r="A2886" s="33" t="s">
        <v>847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1580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847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1580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3259682742</v>
      </c>
    </row>
    <row r="2888" spans="1:8" x14ac:dyDescent="0.3">
      <c r="A2888" s="33" t="s">
        <v>847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1580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847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1580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1239400000</v>
      </c>
    </row>
    <row r="2890" spans="1:8" x14ac:dyDescent="0.3">
      <c r="A2890" s="33" t="s">
        <v>847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1580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892368000</v>
      </c>
    </row>
    <row r="2891" spans="1:8" x14ac:dyDescent="0.3">
      <c r="A2891" s="33" t="s">
        <v>847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1580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347032000</v>
      </c>
    </row>
    <row r="2892" spans="1:8" x14ac:dyDescent="0.3">
      <c r="A2892" s="33" t="s">
        <v>847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1580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3" t="s">
        <v>847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1580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0.72</v>
      </c>
    </row>
    <row r="2894" spans="1:8" x14ac:dyDescent="0.3">
      <c r="A2894" s="33" t="s">
        <v>847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1580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847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1580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847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1580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847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1580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847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1580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54784100000</v>
      </c>
    </row>
    <row r="2899" spans="1:8" x14ac:dyDescent="0.3">
      <c r="A2899" s="33" t="s">
        <v>847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1580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60405200000</v>
      </c>
    </row>
    <row r="2900" spans="1:8" x14ac:dyDescent="0.3">
      <c r="A2900" s="33" t="s">
        <v>847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1580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5621100000</v>
      </c>
    </row>
    <row r="2901" spans="1:8" x14ac:dyDescent="0.3">
      <c r="A2901" s="33" t="s">
        <v>847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1580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0.90700000000000003</v>
      </c>
    </row>
    <row r="2902" spans="1:8" x14ac:dyDescent="0.3">
      <c r="A2902" s="33" t="s">
        <v>847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1580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8590900000</v>
      </c>
    </row>
    <row r="2903" spans="1:8" x14ac:dyDescent="0.3">
      <c r="A2903" s="33" t="s">
        <v>847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1580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847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1580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0.14426893573432353</v>
      </c>
    </row>
    <row r="2905" spans="1:8" x14ac:dyDescent="0.3">
      <c r="A2905" s="33" t="s">
        <v>847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1580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53659423570</v>
      </c>
    </row>
    <row r="2906" spans="1:8" x14ac:dyDescent="0.3">
      <c r="A2906" s="33" t="s">
        <v>847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1580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0.88832457420884292</v>
      </c>
    </row>
    <row r="2907" spans="1:8" x14ac:dyDescent="0.3">
      <c r="A2907" s="33" t="s">
        <v>847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1580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847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1580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847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1580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-2169600000</v>
      </c>
    </row>
    <row r="2910" spans="1:8" x14ac:dyDescent="0.3">
      <c r="A2910" s="33" t="s">
        <v>847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1580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3295709818</v>
      </c>
    </row>
    <row r="2911" spans="1:8" x14ac:dyDescent="0.3">
      <c r="A2911" s="33" t="s">
        <v>847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1580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34020450</v>
      </c>
    </row>
    <row r="2912" spans="1:8" x14ac:dyDescent="0.3">
      <c r="A2912" s="33" t="s">
        <v>847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1580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33102667</v>
      </c>
    </row>
    <row r="2913" spans="1:8" x14ac:dyDescent="0.3">
      <c r="A2913" s="33" t="s">
        <v>847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1580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847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1580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3362832935</v>
      </c>
    </row>
    <row r="2915" spans="1:8" x14ac:dyDescent="0.3">
      <c r="A2915" s="33" t="s">
        <v>847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1580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847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1580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781015000</v>
      </c>
    </row>
    <row r="2917" spans="1:8" x14ac:dyDescent="0.3">
      <c r="A2917" s="33" t="s">
        <v>847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1580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781015000</v>
      </c>
    </row>
    <row r="2918" spans="1:8" x14ac:dyDescent="0.3">
      <c r="A2918" s="33" t="s">
        <v>847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1580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3" t="s">
        <v>847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1580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3" t="s">
        <v>847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1580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3" t="s">
        <v>847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1580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847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1580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847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1580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847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1580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847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1580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60014100000</v>
      </c>
    </row>
    <row r="2926" spans="1:8" x14ac:dyDescent="0.3">
      <c r="A2926" s="33" t="s">
        <v>847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1580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62593600000</v>
      </c>
    </row>
    <row r="2927" spans="1:8" x14ac:dyDescent="0.3">
      <c r="A2927" s="33" t="s">
        <v>847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1580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2579500000</v>
      </c>
    </row>
    <row r="2928" spans="1:8" x14ac:dyDescent="0.3">
      <c r="A2928" s="33" t="s">
        <v>847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1580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0.95899999999999996</v>
      </c>
    </row>
    <row r="2929" spans="1:8" x14ac:dyDescent="0.3">
      <c r="A2929" s="33" t="s">
        <v>847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1580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8671800000</v>
      </c>
    </row>
    <row r="2930" spans="1:8" x14ac:dyDescent="0.3">
      <c r="A2930" s="33" t="s">
        <v>847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1580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847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1580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9.0063769920893003E-2</v>
      </c>
    </row>
    <row r="2932" spans="1:8" x14ac:dyDescent="0.3">
      <c r="A2932" s="33" t="s">
        <v>847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1580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58478913732</v>
      </c>
    </row>
    <row r="2933" spans="1:8" x14ac:dyDescent="0.3">
      <c r="A2933" s="33" t="s">
        <v>847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1580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0.93426346674420391</v>
      </c>
    </row>
    <row r="2934" spans="1:8" x14ac:dyDescent="0.3">
      <c r="A2934" s="33" t="s">
        <v>847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1580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847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1580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847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1580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3042500000</v>
      </c>
    </row>
    <row r="2937" spans="1:8" x14ac:dyDescent="0.3">
      <c r="A2937" s="33" t="s">
        <v>847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1580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3556059999</v>
      </c>
    </row>
    <row r="2938" spans="1:8" x14ac:dyDescent="0.3">
      <c r="A2938" s="33" t="s">
        <v>847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1580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17439568</v>
      </c>
    </row>
    <row r="2939" spans="1:8" x14ac:dyDescent="0.3">
      <c r="A2939" s="33" t="s">
        <v>847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1580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33505928</v>
      </c>
    </row>
    <row r="2940" spans="1:8" x14ac:dyDescent="0.3">
      <c r="A2940" s="33" t="s">
        <v>847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1580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847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1580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3607005495</v>
      </c>
    </row>
    <row r="2942" spans="1:8" x14ac:dyDescent="0.3">
      <c r="A2942" s="33" t="s">
        <v>847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1580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847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1580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847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1580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847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1580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847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1580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33" t="s">
        <v>847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1580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847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1580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866635000</v>
      </c>
    </row>
    <row r="2949" spans="1:8" x14ac:dyDescent="0.3">
      <c r="A2949" s="33" t="s">
        <v>847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1580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866635000</v>
      </c>
    </row>
    <row r="2950" spans="1:8" x14ac:dyDescent="0.3">
      <c r="A2950" s="33" t="s">
        <v>847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1580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3" t="s">
        <v>847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1580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3" t="s">
        <v>847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1580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61395200000</v>
      </c>
    </row>
    <row r="2953" spans="1:8" x14ac:dyDescent="0.3">
      <c r="A2953" s="33" t="s">
        <v>847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1580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73458900000</v>
      </c>
    </row>
    <row r="2954" spans="1:8" x14ac:dyDescent="0.3">
      <c r="A2954" s="33" t="s">
        <v>847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1580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12063700000</v>
      </c>
    </row>
    <row r="2955" spans="1:8" x14ac:dyDescent="0.3">
      <c r="A2955" s="33" t="s">
        <v>847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1580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0.83599999999999997</v>
      </c>
    </row>
    <row r="2956" spans="1:8" x14ac:dyDescent="0.3">
      <c r="A2956" s="33" t="s">
        <v>847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1580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9115800000</v>
      </c>
    </row>
    <row r="2957" spans="1:8" x14ac:dyDescent="0.3">
      <c r="A2957" s="33" t="s">
        <v>847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1580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9.5069549573268394E-2</v>
      </c>
    </row>
    <row r="2958" spans="1:8" x14ac:dyDescent="0.3">
      <c r="A2958" s="33" t="s">
        <v>847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1580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847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1580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65401492664</v>
      </c>
    </row>
    <row r="2960" spans="1:8" x14ac:dyDescent="0.3">
      <c r="A2960" s="33" t="s">
        <v>847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1580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0.89031407581654498</v>
      </c>
    </row>
    <row r="2961" spans="1:8" x14ac:dyDescent="0.3">
      <c r="A2961" s="33" t="s">
        <v>847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1580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847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1580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3" t="s">
        <v>847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1580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3177800000</v>
      </c>
    </row>
    <row r="2964" spans="1:8" x14ac:dyDescent="0.3">
      <c r="A2964" s="33" t="s">
        <v>847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1580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3837870411</v>
      </c>
    </row>
    <row r="2965" spans="1:8" x14ac:dyDescent="0.3">
      <c r="A2965" s="33" t="s">
        <v>847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1580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25560094</v>
      </c>
    </row>
    <row r="2966" spans="1:8" x14ac:dyDescent="0.3">
      <c r="A2966" s="33" t="s">
        <v>847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1580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31247350</v>
      </c>
    </row>
    <row r="2967" spans="1:8" x14ac:dyDescent="0.3">
      <c r="A2967" s="33" t="s">
        <v>847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1580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847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1580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3894677855</v>
      </c>
    </row>
    <row r="2969" spans="1:8" x14ac:dyDescent="0.3">
      <c r="A2969" s="33" t="s">
        <v>847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1580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847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1580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847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1580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847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1580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847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1580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3" t="s">
        <v>847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1580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847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1580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909912000</v>
      </c>
    </row>
    <row r="2976" spans="1:8" x14ac:dyDescent="0.3">
      <c r="A2976" s="33" t="s">
        <v>847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1580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909912000</v>
      </c>
    </row>
    <row r="2977" spans="1:8" x14ac:dyDescent="0.3">
      <c r="A2977" s="33" t="s">
        <v>847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1580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3" t="s">
        <v>847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1580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3" t="s">
        <v>847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1580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60000100000</v>
      </c>
    </row>
    <row r="2980" spans="1:8" x14ac:dyDescent="0.3">
      <c r="A2980" s="33" t="s">
        <v>847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1580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76196600000</v>
      </c>
    </row>
    <row r="2981" spans="1:8" x14ac:dyDescent="0.3">
      <c r="A2981" s="33" t="s">
        <v>847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1580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16196500000</v>
      </c>
    </row>
    <row r="2982" spans="1:8" x14ac:dyDescent="0.3">
      <c r="A2982" s="33" t="s">
        <v>847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1580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0.78700000000000003</v>
      </c>
    </row>
    <row r="2983" spans="1:8" x14ac:dyDescent="0.3">
      <c r="A2983" s="33" t="s">
        <v>847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1580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9544100000</v>
      </c>
    </row>
    <row r="2984" spans="1:8" x14ac:dyDescent="0.3">
      <c r="A2984" s="33" t="s">
        <v>847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1580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9.5337643151266221E-2</v>
      </c>
    </row>
    <row r="2985" spans="1:8" x14ac:dyDescent="0.3">
      <c r="A2985" s="33" t="s">
        <v>847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1580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847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1580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64923626094</v>
      </c>
    </row>
    <row r="2987" spans="1:8" x14ac:dyDescent="0.3">
      <c r="A2987" s="33" t="s">
        <v>847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1580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0.85205410863476849</v>
      </c>
    </row>
    <row r="2988" spans="1:8" x14ac:dyDescent="0.3">
      <c r="A2988" s="33" t="s">
        <v>847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1580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847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1580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3" t="s">
        <v>847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1580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-350800000</v>
      </c>
    </row>
    <row r="2991" spans="1:8" x14ac:dyDescent="0.3">
      <c r="A2991" s="33" t="s">
        <v>847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1580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3927167032</v>
      </c>
    </row>
    <row r="2992" spans="1:8" x14ac:dyDescent="0.3">
      <c r="A2992" s="33" t="s">
        <v>847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1580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16481215</v>
      </c>
    </row>
    <row r="2993" spans="1:8" x14ac:dyDescent="0.3">
      <c r="A2993" s="33" t="s">
        <v>847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1580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35739837</v>
      </c>
    </row>
    <row r="2994" spans="1:8" x14ac:dyDescent="0.3">
      <c r="A2994" s="33" t="s">
        <v>847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1580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847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1580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3979388084</v>
      </c>
    </row>
    <row r="2996" spans="1:8" x14ac:dyDescent="0.3">
      <c r="A2996" s="33" t="s">
        <v>847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1580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847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1580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847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1580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847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1580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847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1580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3" t="s">
        <v>847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1580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847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1580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941321000</v>
      </c>
    </row>
    <row r="3003" spans="1:8" x14ac:dyDescent="0.3">
      <c r="A3003" s="33" t="s">
        <v>847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1580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941321000</v>
      </c>
    </row>
    <row r="3004" spans="1:8" x14ac:dyDescent="0.3">
      <c r="A3004" s="33" t="s">
        <v>847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1580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3" t="s">
        <v>847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1580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3" t="s">
        <v>847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1580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61059000000</v>
      </c>
    </row>
    <row r="3007" spans="1:8" x14ac:dyDescent="0.3">
      <c r="A3007" s="33" t="s">
        <v>847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1580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80970300000</v>
      </c>
    </row>
    <row r="3008" spans="1:8" x14ac:dyDescent="0.3">
      <c r="A3008" s="33" t="s">
        <v>847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1580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19911200000</v>
      </c>
    </row>
    <row r="3009" spans="1:8" x14ac:dyDescent="0.3">
      <c r="A3009" s="33" t="s">
        <v>847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1580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0.754</v>
      </c>
    </row>
    <row r="3010" spans="1:8" x14ac:dyDescent="0.3">
      <c r="A3010" s="33" t="s">
        <v>847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1580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9872600000</v>
      </c>
    </row>
    <row r="3011" spans="1:8" x14ac:dyDescent="0.3">
      <c r="A3011" s="33" t="s">
        <v>847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1580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9.5346818467273053E-2</v>
      </c>
    </row>
    <row r="3012" spans="1:8" x14ac:dyDescent="0.3">
      <c r="A3012" s="33" t="s">
        <v>847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1580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847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1580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62082059102</v>
      </c>
    </row>
    <row r="3014" spans="1:8" x14ac:dyDescent="0.3">
      <c r="A3014" s="33" t="s">
        <v>847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1580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0.76672630707802736</v>
      </c>
    </row>
    <row r="3015" spans="1:8" x14ac:dyDescent="0.3">
      <c r="A3015" s="33" t="s">
        <v>847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1580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847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1580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3" t="s">
        <v>847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1580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62900000</v>
      </c>
    </row>
    <row r="3018" spans="1:8" x14ac:dyDescent="0.3">
      <c r="A3018" s="33" t="s">
        <v>847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1580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4193307712</v>
      </c>
    </row>
    <row r="3019" spans="1:8" x14ac:dyDescent="0.3">
      <c r="A3019" s="33" t="s">
        <v>847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1580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13154578</v>
      </c>
    </row>
    <row r="3020" spans="1:8" x14ac:dyDescent="0.3">
      <c r="A3020" s="33" t="s">
        <v>847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1580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40567225</v>
      </c>
    </row>
    <row r="3021" spans="1:8" x14ac:dyDescent="0.3">
      <c r="A3021" s="33" t="s">
        <v>847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1580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847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1580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4247029515</v>
      </c>
    </row>
    <row r="3023" spans="1:8" x14ac:dyDescent="0.3">
      <c r="A3023" s="33" t="s">
        <v>847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1580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847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1580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847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1580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847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1580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847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1580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3" t="s">
        <v>847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1580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847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1580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960254000</v>
      </c>
    </row>
    <row r="3030" spans="1:8" x14ac:dyDescent="0.3">
      <c r="A3030" s="33" t="s">
        <v>847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1580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960254000</v>
      </c>
    </row>
    <row r="3031" spans="1:8" x14ac:dyDescent="0.3">
      <c r="A3031" s="33" t="s">
        <v>847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1580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3" t="s">
        <v>847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1580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3" t="s">
        <v>847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1580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67326100000.000008</v>
      </c>
    </row>
    <row r="3034" spans="1:8" x14ac:dyDescent="0.3">
      <c r="A3034" s="33" t="s">
        <v>847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1580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84056100000</v>
      </c>
    </row>
    <row r="3035" spans="1:8" x14ac:dyDescent="0.3">
      <c r="A3035" s="33" t="s">
        <v>847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1580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16730000000</v>
      </c>
    </row>
    <row r="3036" spans="1:8" x14ac:dyDescent="0.3">
      <c r="A3036" s="33" t="s">
        <v>847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1580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0.80100000000000005</v>
      </c>
    </row>
    <row r="3037" spans="1:8" x14ac:dyDescent="0.3">
      <c r="A3037" s="33" t="s">
        <v>847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1580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10098900000</v>
      </c>
    </row>
    <row r="3038" spans="1:8" x14ac:dyDescent="0.3">
      <c r="A3038" s="33" t="s">
        <v>847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1580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9.5085009258434092E-2</v>
      </c>
    </row>
    <row r="3039" spans="1:8" x14ac:dyDescent="0.3">
      <c r="A3039" s="33" t="s">
        <v>847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1580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847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1580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66371703247</v>
      </c>
    </row>
    <row r="3041" spans="1:8" x14ac:dyDescent="0.3">
      <c r="A3041" s="33" t="s">
        <v>847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1580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0.78961197637054303</v>
      </c>
    </row>
    <row r="3042" spans="1:8" x14ac:dyDescent="0.3">
      <c r="A3042" s="33" t="s">
        <v>847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1580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847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1580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3" t="s">
        <v>847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1580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3905100000</v>
      </c>
    </row>
    <row r="3045" spans="1:8" x14ac:dyDescent="0.3">
      <c r="A3045" s="33" t="s">
        <v>847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1580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4346282735</v>
      </c>
    </row>
    <row r="3046" spans="1:8" x14ac:dyDescent="0.3">
      <c r="A3046" s="33" t="s">
        <v>847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1580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15961744</v>
      </c>
    </row>
    <row r="3047" spans="1:8" x14ac:dyDescent="0.3">
      <c r="A3047" s="33" t="s">
        <v>847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1580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43546184</v>
      </c>
    </row>
    <row r="3048" spans="1:8" x14ac:dyDescent="0.3">
      <c r="A3048" s="33" t="s">
        <v>847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1580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847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1580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4405790663</v>
      </c>
    </row>
    <row r="3050" spans="1:8" x14ac:dyDescent="0.3">
      <c r="A3050" s="33" t="s">
        <v>847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1580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847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1580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847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1580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847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1580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847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1580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3" t="s">
        <v>847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1580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847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1580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1318672000</v>
      </c>
    </row>
    <row r="3057" spans="1:8" x14ac:dyDescent="0.3">
      <c r="A3057" s="33" t="s">
        <v>847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1580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1318672000</v>
      </c>
    </row>
    <row r="3058" spans="1:8" x14ac:dyDescent="0.3">
      <c r="A3058" s="33" t="s">
        <v>847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1580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3" t="s">
        <v>847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1580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3" t="s">
        <v>847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1580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64802300000</v>
      </c>
    </row>
    <row r="3061" spans="1:8" x14ac:dyDescent="0.3">
      <c r="A3061" s="33" t="s">
        <v>847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1580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86574700000</v>
      </c>
    </row>
    <row r="3062" spans="1:8" x14ac:dyDescent="0.3">
      <c r="A3062" s="33" t="s">
        <v>847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1580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21772400000</v>
      </c>
    </row>
    <row r="3063" spans="1:8" x14ac:dyDescent="0.3">
      <c r="A3063" s="33" t="s">
        <v>847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1580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0.749</v>
      </c>
    </row>
    <row r="3064" spans="1:8" x14ac:dyDescent="0.3">
      <c r="A3064" s="33" t="s">
        <v>847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1580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10852000000</v>
      </c>
    </row>
    <row r="3065" spans="1:8" x14ac:dyDescent="0.3">
      <c r="A3065" s="33" t="s">
        <v>847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1580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0.12151419093254699</v>
      </c>
    </row>
    <row r="3066" spans="1:8" x14ac:dyDescent="0.3">
      <c r="A3066" s="33" t="s">
        <v>847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1580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847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1580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69327500445</v>
      </c>
    </row>
    <row r="3068" spans="1:8" x14ac:dyDescent="0.3">
      <c r="A3068" s="33" t="s">
        <v>847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1580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0.80078245081992772</v>
      </c>
    </row>
    <row r="3069" spans="1:8" x14ac:dyDescent="0.3">
      <c r="A3069" s="33" t="s">
        <v>847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1580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847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1580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3" t="s">
        <v>847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1580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-3622600000</v>
      </c>
    </row>
    <row r="3072" spans="1:8" x14ac:dyDescent="0.3">
      <c r="A3072" s="33" t="s">
        <v>847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1580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4642717844</v>
      </c>
    </row>
    <row r="3073" spans="1:8" x14ac:dyDescent="0.3">
      <c r="A3073" s="33" t="s">
        <v>847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1580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13876294</v>
      </c>
    </row>
    <row r="3074" spans="1:8" x14ac:dyDescent="0.3">
      <c r="A3074" s="33" t="s">
        <v>847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1580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37751319</v>
      </c>
    </row>
    <row r="3075" spans="1:8" x14ac:dyDescent="0.3">
      <c r="A3075" s="33" t="s">
        <v>847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1580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847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1580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4694345457</v>
      </c>
    </row>
    <row r="3077" spans="1:8" x14ac:dyDescent="0.3">
      <c r="A3077" s="33" t="s">
        <v>847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1580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847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1580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847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1580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847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1580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847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1580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3" t="s">
        <v>847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1580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847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1580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1410966000</v>
      </c>
    </row>
    <row r="3084" spans="1:8" x14ac:dyDescent="0.3">
      <c r="A3084" s="33" t="s">
        <v>847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1580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1410966000</v>
      </c>
    </row>
    <row r="3085" spans="1:8" x14ac:dyDescent="0.3">
      <c r="A3085" s="33" t="s">
        <v>847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1580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3" t="s">
        <v>847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1580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3" t="s">
        <v>847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1580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70312300000</v>
      </c>
    </row>
    <row r="3088" spans="1:8" x14ac:dyDescent="0.3">
      <c r="A3088" s="33" t="s">
        <v>847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1580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89445700000</v>
      </c>
    </row>
    <row r="3089" spans="1:8" x14ac:dyDescent="0.3">
      <c r="A3089" s="33" t="s">
        <v>847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1580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19133500000</v>
      </c>
    </row>
    <row r="3090" spans="1:8" x14ac:dyDescent="0.3">
      <c r="A3090" s="33" t="s">
        <v>847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1580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0.78600000000000003</v>
      </c>
    </row>
    <row r="3091" spans="1:8" x14ac:dyDescent="0.3">
      <c r="A3091" s="33" t="s">
        <v>847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1580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11533700000</v>
      </c>
    </row>
    <row r="3092" spans="1:8" x14ac:dyDescent="0.3">
      <c r="A3092" s="33" t="s">
        <v>847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1580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0.12233420324787363</v>
      </c>
    </row>
    <row r="3093" spans="1:8" x14ac:dyDescent="0.3">
      <c r="A3093" s="33" t="s">
        <v>847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1580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847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1580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70203720619</v>
      </c>
    </row>
    <row r="3095" spans="1:8" x14ac:dyDescent="0.3">
      <c r="A3095" s="33" t="s">
        <v>847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1580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0.78487529997529226</v>
      </c>
    </row>
    <row r="3096" spans="1:8" x14ac:dyDescent="0.3">
      <c r="A3096" s="33" t="s">
        <v>847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1580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847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1580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3" t="s">
        <v>847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1580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3045500000</v>
      </c>
    </row>
    <row r="3099" spans="1:8" x14ac:dyDescent="0.3">
      <c r="A3099" s="33" t="s">
        <v>847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1580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4815058600</v>
      </c>
    </row>
    <row r="3100" spans="1:8" x14ac:dyDescent="0.3">
      <c r="A3100" s="33" t="s">
        <v>847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1580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11903642</v>
      </c>
    </row>
    <row r="3101" spans="1:8" x14ac:dyDescent="0.3">
      <c r="A3101" s="33" t="s">
        <v>847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1580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38403320</v>
      </c>
    </row>
    <row r="3102" spans="1:8" x14ac:dyDescent="0.3">
      <c r="A3102" s="33" t="s">
        <v>847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1580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847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1580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4865365562</v>
      </c>
    </row>
    <row r="3104" spans="1:8" x14ac:dyDescent="0.3">
      <c r="A3104" s="33" t="s">
        <v>847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1580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847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1580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847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1580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847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1580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847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1580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3" t="s">
        <v>847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1580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847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1580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1981943000</v>
      </c>
    </row>
    <row r="3111" spans="1:8" x14ac:dyDescent="0.3">
      <c r="A3111" s="33" t="s">
        <v>847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1580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1981943000</v>
      </c>
    </row>
    <row r="3112" spans="1:8" x14ac:dyDescent="0.3">
      <c r="A3112" s="33" t="s">
        <v>847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1580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3" t="s">
        <v>847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1580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3" t="s">
        <v>847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1580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72378300000</v>
      </c>
    </row>
    <row r="3115" spans="1:8" x14ac:dyDescent="0.3">
      <c r="A3115" s="33" t="s">
        <v>847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1580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95300400000</v>
      </c>
    </row>
    <row r="3116" spans="1:8" x14ac:dyDescent="0.3">
      <c r="A3116" s="33" t="s">
        <v>847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1580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22922100000</v>
      </c>
    </row>
    <row r="3117" spans="1:8" x14ac:dyDescent="0.3">
      <c r="A3117" s="33" t="s">
        <v>847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1580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0.75900000000000001</v>
      </c>
    </row>
    <row r="3118" spans="1:8" x14ac:dyDescent="0.3">
      <c r="A3118" s="33" t="s">
        <v>847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1580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12042700000</v>
      </c>
    </row>
    <row r="3119" spans="1:8" x14ac:dyDescent="0.3">
      <c r="A3119" s="33" t="s">
        <v>847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1580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0.16457629933486675</v>
      </c>
    </row>
    <row r="3120" spans="1:8" x14ac:dyDescent="0.3">
      <c r="A3120" s="33" t="s">
        <v>847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1580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847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1580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68319296993</v>
      </c>
    </row>
    <row r="3122" spans="1:8" x14ac:dyDescent="0.3">
      <c r="A3122" s="33" t="s">
        <v>847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1580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0.71688363315369086</v>
      </c>
    </row>
    <row r="3123" spans="1:8" x14ac:dyDescent="0.3">
      <c r="A3123" s="33" t="s">
        <v>847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1580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847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1580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3" t="s">
        <v>847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1580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201300000</v>
      </c>
    </row>
    <row r="3126" spans="1:8" x14ac:dyDescent="0.3">
      <c r="A3126" s="33" t="s">
        <v>847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1580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5045931154</v>
      </c>
    </row>
    <row r="3127" spans="1:8" x14ac:dyDescent="0.3">
      <c r="A3127" s="33" t="s">
        <v>847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1580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18855297</v>
      </c>
    </row>
    <row r="3128" spans="1:8" x14ac:dyDescent="0.3">
      <c r="A3128" s="33" t="s">
        <v>847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1580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52083371</v>
      </c>
    </row>
    <row r="3129" spans="1:8" x14ac:dyDescent="0.3">
      <c r="A3129" s="33" t="s">
        <v>847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1580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847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1580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5116869822</v>
      </c>
    </row>
    <row r="3131" spans="1:8" x14ac:dyDescent="0.3">
      <c r="A3131" s="33" t="s">
        <v>847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1580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847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1580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847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1580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847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1580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847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1580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3" t="s">
        <v>847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1580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847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1580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2058483000</v>
      </c>
    </row>
    <row r="3138" spans="1:8" x14ac:dyDescent="0.3">
      <c r="A3138" s="33" t="s">
        <v>847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1580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2058483000</v>
      </c>
    </row>
    <row r="3139" spans="1:8" x14ac:dyDescent="0.3">
      <c r="A3139" s="33" t="s">
        <v>847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1580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3" t="s">
        <v>847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1580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3" t="s">
        <v>847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1580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85001300000</v>
      </c>
    </row>
    <row r="3142" spans="1:8" x14ac:dyDescent="0.3">
      <c r="A3142" s="33" t="s">
        <v>847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1580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98401400000</v>
      </c>
    </row>
    <row r="3143" spans="1:8" x14ac:dyDescent="0.3">
      <c r="A3143" s="33" t="s">
        <v>847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1580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13400100000</v>
      </c>
    </row>
    <row r="3144" spans="1:8" x14ac:dyDescent="0.3">
      <c r="A3144" s="33" t="s">
        <v>847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1580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0.86399999999999999</v>
      </c>
    </row>
    <row r="3145" spans="1:8" x14ac:dyDescent="0.3">
      <c r="A3145" s="33" t="s">
        <v>847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1580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12684100000</v>
      </c>
    </row>
    <row r="3146" spans="1:8" x14ac:dyDescent="0.3">
      <c r="A3146" s="33" t="s">
        <v>847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1580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0.16228845562554695</v>
      </c>
    </row>
    <row r="3147" spans="1:8" x14ac:dyDescent="0.3">
      <c r="A3147" s="33" t="s">
        <v>847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1580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847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1580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84331316437</v>
      </c>
    </row>
    <row r="3149" spans="1:8" x14ac:dyDescent="0.3">
      <c r="A3149" s="33" t="s">
        <v>847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1580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0.8570133802669474</v>
      </c>
    </row>
    <row r="3150" spans="1:8" x14ac:dyDescent="0.3">
      <c r="A3150" s="33" t="s">
        <v>847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1580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847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1580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3" t="s">
        <v>847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1580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7417500000</v>
      </c>
    </row>
    <row r="3153" spans="1:8" x14ac:dyDescent="0.3">
      <c r="A3153" s="33" t="s">
        <v>847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1580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5237137595</v>
      </c>
    </row>
    <row r="3154" spans="1:8" x14ac:dyDescent="0.3">
      <c r="A3154" s="33" t="s">
        <v>847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1580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11934465</v>
      </c>
    </row>
    <row r="3155" spans="1:8" x14ac:dyDescent="0.3">
      <c r="A3155" s="33" t="s">
        <v>847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1580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59084400</v>
      </c>
    </row>
    <row r="3156" spans="1:8" x14ac:dyDescent="0.3">
      <c r="A3156" s="33" t="s">
        <v>847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1580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847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1580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5308156460</v>
      </c>
    </row>
    <row r="3158" spans="1:8" x14ac:dyDescent="0.3">
      <c r="A3158" s="33" t="s">
        <v>847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1580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847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1580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847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1580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847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1580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847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1580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3" t="s">
        <v>847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1580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847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1580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2117323000</v>
      </c>
    </row>
    <row r="3165" spans="1:8" x14ac:dyDescent="0.3">
      <c r="A3165" s="33" t="s">
        <v>847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1580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2117323000</v>
      </c>
    </row>
    <row r="3166" spans="1:8" x14ac:dyDescent="0.3">
      <c r="A3166" s="33" t="s">
        <v>847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1580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3" t="s">
        <v>847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1580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3" t="s">
        <v>847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1580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81074000000</v>
      </c>
    </row>
    <row r="3169" spans="1:8" x14ac:dyDescent="0.3">
      <c r="A3169" s="33" t="s">
        <v>847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1580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102908800000</v>
      </c>
    </row>
    <row r="3170" spans="1:8" x14ac:dyDescent="0.3">
      <c r="A3170" s="33" t="s">
        <v>847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1580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21834800000</v>
      </c>
    </row>
    <row r="3171" spans="1:8" x14ac:dyDescent="0.3">
      <c r="A3171" s="33" t="s">
        <v>847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1580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0.78800000000000003</v>
      </c>
    </row>
    <row r="3172" spans="1:8" x14ac:dyDescent="0.3">
      <c r="A3172" s="33" t="s">
        <v>847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1580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13856600000</v>
      </c>
    </row>
    <row r="3173" spans="1:8" x14ac:dyDescent="0.3">
      <c r="A3173" s="33" t="s">
        <v>847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1580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0.15280249123161527</v>
      </c>
    </row>
    <row r="3174" spans="1:8" x14ac:dyDescent="0.3">
      <c r="A3174" s="33" t="s">
        <v>847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1580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847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1580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83769552854</v>
      </c>
    </row>
    <row r="3176" spans="1:8" x14ac:dyDescent="0.3">
      <c r="A3176" s="33" t="s">
        <v>847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1580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0.81401739067990297</v>
      </c>
    </row>
    <row r="3177" spans="1:8" x14ac:dyDescent="0.3">
      <c r="A3177" s="33" t="s">
        <v>847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1580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847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1580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3" t="s">
        <v>847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1580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-6387100000</v>
      </c>
    </row>
    <row r="3180" spans="1:8" x14ac:dyDescent="0.3">
      <c r="A3180" s="33" t="s">
        <v>847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1580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5468215109</v>
      </c>
    </row>
    <row r="3181" spans="1:8" x14ac:dyDescent="0.3">
      <c r="A3181" s="33" t="s">
        <v>847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1580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14893205</v>
      </c>
    </row>
    <row r="3182" spans="1:8" x14ac:dyDescent="0.3">
      <c r="A3182" s="33" t="s">
        <v>847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1580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58696368</v>
      </c>
    </row>
    <row r="3183" spans="1:8" x14ac:dyDescent="0.3">
      <c r="A3183" s="33" t="s">
        <v>847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1580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847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1580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5541804682</v>
      </c>
    </row>
    <row r="3185" spans="1:8" x14ac:dyDescent="0.3">
      <c r="A3185" s="34" t="s">
        <v>1073</v>
      </c>
      <c r="B3185" s="33">
        <v>3</v>
      </c>
      <c r="C3185" s="33">
        <v>3</v>
      </c>
      <c r="E3185" s="33">
        <f t="shared" ref="E3185" si="6526">plan_id</f>
        <v>1580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1073</v>
      </c>
      <c r="B3186" s="33">
        <f>B3185</f>
        <v>3</v>
      </c>
      <c r="C3186" s="33">
        <f>C3185+1</f>
        <v>4</v>
      </c>
      <c r="E3186" s="33">
        <f t="shared" ref="E3186" si="6528">plan_id</f>
        <v>1580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1073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1580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1073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1580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1073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1580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1073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1580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1073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1580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1073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1580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1073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1580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1073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1580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1073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1580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1073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1580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1073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1580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1073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1580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1073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1580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1073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1580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1073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1580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1073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1580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1073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1580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1073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1580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1073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1580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1073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1580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1073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1580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1073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1580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1073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1580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1073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1580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1073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1580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1073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1580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1073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1580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1073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1580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1073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1580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1073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1580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1073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1580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1073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1580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1073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1580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1073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1580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1073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1580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1073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1580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1073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1580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1073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1580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1073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1580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1073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1580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1073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1580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1073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1580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1073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1580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1073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1580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1073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1580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1073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1580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1073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1580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1073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1580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1073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1580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1073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1580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1073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1580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1073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1580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1073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1580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1073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1580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1073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1580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1073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1580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1073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1580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1073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1580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1073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1580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1073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1580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1073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1580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1073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1580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1073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1580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1073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1580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1073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1580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1073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1580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1073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1580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1073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1580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1073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1580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1073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1580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1073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1580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1073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1580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1073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1580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1073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1580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1073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1580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1073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1580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1073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1580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1073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1580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1073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1580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1073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1580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1073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1580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1073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1580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1073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1580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1073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1580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1073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1580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1073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1580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1073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1580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1073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1580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1073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1580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1073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1580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1073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1580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1073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1580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1073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1580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1073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1580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1073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1580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1073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1580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1073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1580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1073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1580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1073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1580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1073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1580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1073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1580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1073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1580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1073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1580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1073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1580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1073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1580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1073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1580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1073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1580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1073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1580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1073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1580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1073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1580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1073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1580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1073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1580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1073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1580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1073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1580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1073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1580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1073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1580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1073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1580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1073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1580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1073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1580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1073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1580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1073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1580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1073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1580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1073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1580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1073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1580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1073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1580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1073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1580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1073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1580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1073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1580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1073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1580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1073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1580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1073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1580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1073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1580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1073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1580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1073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1580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1073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1580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1073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1580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1073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1580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1073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1580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1073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1580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1073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1580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1073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1580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1073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1580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1073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1580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1073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1580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1073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1580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1073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1580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1073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1580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1073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1580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1073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1580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1073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1580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1073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1580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1073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1580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1073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1580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1073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1580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1073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1580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1073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1580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1073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1580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1073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1580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1073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1580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1073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1580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1073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1580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1073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1580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1073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1580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1073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1580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1073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1580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1073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1580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1073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1580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1073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1580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1073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1580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1073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1580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1073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1580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1073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1580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1073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1580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1073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1580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1073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1580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1073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1580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1073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1580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1073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1580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1073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1580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1073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1580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1073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1580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1073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1580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1073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1580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1073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1580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1073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1580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1073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1580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1073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1580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1073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1580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1073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1580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1073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1580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1073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1580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1073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1580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1073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1580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1073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1580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1073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1580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1073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1580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1073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1580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1073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1580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1073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1580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1073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1580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1073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1580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1073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1580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1073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1580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1073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1580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1073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1580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1073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1580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1073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1580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1073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1580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1073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1580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1073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1580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1073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1580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1073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1580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1073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1580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1073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1580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1073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1580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1073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1580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1073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1580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1073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1580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1073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1580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1073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1580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1073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1580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1073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1580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1073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1580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1073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1580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1073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1580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1073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1580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1073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1580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1073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1580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1073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1580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1073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1580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1073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1580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1073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1580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1073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1580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1073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1580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1073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1580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1073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1580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1073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1580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1073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1580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1073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1580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1073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1580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1073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1580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1073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1580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1073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1580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1073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1580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1073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1580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1073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1580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1073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1580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1073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1580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1073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1580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1073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1580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1073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1580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1073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1580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1073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1580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1073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1580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1073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1580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1073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1580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1073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1580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1073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1580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1073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1580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1073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1580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1073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1580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1073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1580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1073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1580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1073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1580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1073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1580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1073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1580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1073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1580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1073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1580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1073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1580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1073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1580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1073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1580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1073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1580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1073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1580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1073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1580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1073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1580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1073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1580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1073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1580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1073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1580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1073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1580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1073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1580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1073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1580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1073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1580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1073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1580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1073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1580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1073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1580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1073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1580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1073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1580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1073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1580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1073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1580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1073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1580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1073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1580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1073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1580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1073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1580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1073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1580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1073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1580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1073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1580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1073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1580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1073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1580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1073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1580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1073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1580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1073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1580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1073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1580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1073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1580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1073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1580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1073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1580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1073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1580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1073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1580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1073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1580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1073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1580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1073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1580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1073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1580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1073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1580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1073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1580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1073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1580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1073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1580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1073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1580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1073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1580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1073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1580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1073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1580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1073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1580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1073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1580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1073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1580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1073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1580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1073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1580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1073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1580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1073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1580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1073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1580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1073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1580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1073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1580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1073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1580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1073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1580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1073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1580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1073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1580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1073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1580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1073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1580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1073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1580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1073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1580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1073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1580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1073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1580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1073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1580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1073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1580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1073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1580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1073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1580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1073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1580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1073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1580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1073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1580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1073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1580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1073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1580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1073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1580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1073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1580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1073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1580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1073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1580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1073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1580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1073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1580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1073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1580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1073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1580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1073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1580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1073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1580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1073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1580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1073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1580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1073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1580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1073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1580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1073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1580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1073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1580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1073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1580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1073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1580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1073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1580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1073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1580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1073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1580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1073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1580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1073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1580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1073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1580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1073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1580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1073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1580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1073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1580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1073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1580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1073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1580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1073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1580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1073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1580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1073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1580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1073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1580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1073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1580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1073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1580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1073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1580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1073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1580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1073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1580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1073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1580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1073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1580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1073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1580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1073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1580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1073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1580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1073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1580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1073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1580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1073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1580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1073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1580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1073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1580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1073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1580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1073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1580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1073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1580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1073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1580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1073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1580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1073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1580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1073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1580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1073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1580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1073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1580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1073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1580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1073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1580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1073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1580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1073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1580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1073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1580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1073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1580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1073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1580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1073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1580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1073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1580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1073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1580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1073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1580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1073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1580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1073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1580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1073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1580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1073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1580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1073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1580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1073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1580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1073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1580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1073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1580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1073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1580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1073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1580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1073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1580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1073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1580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1073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1580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1073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1580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1073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1580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1073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1580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1073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1580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1073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1580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1073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1580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1073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1580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1073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1580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1073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1580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1073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1580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1073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1580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1073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1580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1073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1580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1073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1580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1073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1580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1073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1580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1073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1580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1073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1580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1073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1580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1073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1580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1073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1580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1073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1580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1073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1580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1073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1580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1073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1580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1073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1580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1073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1580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1073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1580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1073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1580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1073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1580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1073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1580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1073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1580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1073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1580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1073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1580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1073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1580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1073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1580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1073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1580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1073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1580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1073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1580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1073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1580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1073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1580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1073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1580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1073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1580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1073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1580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1073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1580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1073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1580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1073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1580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1073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1580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1073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1580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1073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1580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1073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1580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1073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1580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1073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1580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1073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1580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1073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1580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1073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1580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1073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1580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1073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1580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1073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1580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1073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1580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1073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1580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1073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1580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1073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1580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1073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1580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1073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1580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1073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1580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1073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1580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1073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1580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1073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1580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1073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1580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1073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1580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1073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1580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1073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1580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1073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1580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1073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1580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1073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1580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1073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1580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1073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1580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1073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1580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1073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1580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1073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1580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1073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1580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1073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1580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1073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1580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1073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1580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1073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1580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1073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1580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1073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1580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1073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1580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1073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1580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1073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1580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1073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1580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1073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1580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1073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1580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1073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1580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1073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1580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1073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1580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1073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1580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1073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1580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1073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1580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1073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1580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1073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1580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1073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1580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1073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1580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1073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1580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1073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1580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1073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1580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1073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1580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1073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1580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1073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1580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1073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1580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1073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1580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1073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1580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1073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1580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1073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1580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1073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1580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1073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1580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1073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1580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1073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1580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1073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1580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1073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1580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1073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1580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1073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1580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1073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1580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1073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1580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1073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1580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1073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1580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1073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1580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1073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1580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1073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1580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1073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1580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1073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1580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1073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1580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1073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1580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1073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1580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1073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1580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1073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1580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1073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1580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1073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1580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1073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1580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1073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1580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1073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1580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1073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1580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1073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1580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1073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1580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1073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1580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1073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1580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1073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1580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1073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1580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1073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1580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1073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1580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1073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1580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1073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1580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1073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1580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1073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1580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1073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1580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1073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1580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1073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1580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1073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1580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1073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1580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1073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1580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1073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1580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1073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1580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1073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1580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1073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1580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1073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1580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1073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1580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1073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1580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1073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1580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1073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1580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1073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1580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1073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1580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1073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1580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1073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1580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1073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1580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1073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1580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1073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1580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1073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1580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1073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1580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1073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1580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1073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1580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1073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1580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1073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1580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1073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1580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1073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1580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1073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1580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1073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1580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1073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1580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1073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1580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1073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1580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1073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1580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1073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1580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1073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1580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1073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1580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1073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1580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1073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1580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1073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1580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1073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1580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1073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1580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1073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1580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1073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1580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1073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1580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1073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1580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1073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1580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1073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1580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1073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1580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1073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1580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1073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1580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1073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1580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1073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1580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1073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1580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1073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1580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1073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1580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1073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1580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1073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1580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1073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1580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1073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1580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1073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1580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1073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1580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1073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1580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1073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1580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1073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1580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1073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1580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1073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1580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1073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1580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1073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1580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1073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1580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1073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1580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1073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1580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1073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1580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1073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1580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1073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1580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1073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1580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1073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1580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1073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1580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1073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1580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1073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1580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1073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1580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1073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1580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1073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1580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1073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1580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1073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1580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1073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1580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1073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1580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1073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1580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1073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1580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1073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1580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1073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1580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1073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1580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1073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1580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1073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1580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1073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1580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1073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1580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1073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1580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1073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1580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1073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1580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1073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1580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1073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1580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1073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1580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1073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1580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1073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1580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1073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1580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1073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1580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1073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1580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1073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1580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1073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1580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1073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1580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1073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1580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1073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1580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1073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1580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1073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1580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1073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1580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1073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1580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1073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1580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1073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1580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1073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1580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1073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1580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1073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1580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1073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1580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1073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1580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1073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1580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1073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1580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1073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1580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1073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1580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1073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1580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1073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1580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1073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1580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1073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1580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1073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1580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1073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1580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1073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1580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1073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1580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1073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1580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1073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1580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1073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1580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1073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1580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1073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1580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1073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1580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1073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1580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1073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1580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1073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1580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1073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1580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1073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1580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1073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1580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1073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1580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1073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1580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1073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1580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1073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1580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1073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1580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1073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1580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1073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1580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1073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1580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1073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1580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1073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1580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1073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1580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1073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1580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1073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1580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1073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1580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1073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1580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1073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1580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1073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1580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1073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1580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1073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1580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1073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1580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1073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1580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1073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1580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1073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1580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1073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1580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1073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1580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1073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1580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1073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1580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1073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1580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1073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1580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1073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1580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1073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1580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1073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1580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1073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1580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1073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1580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1073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1580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1073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1580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1073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1580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1073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1580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1073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1580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1073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1580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1073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1580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1073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1580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1073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1580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1073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1580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1073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1580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1073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1580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1073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1580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1073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1580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1073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1580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1073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1580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1073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1580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1073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1580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1073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1580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1073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1580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1073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1580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1073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1580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1073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1580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1073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1580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1073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1580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1073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1580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1073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1580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1073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1580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1073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1580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1073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1580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1073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1580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1073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1580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1073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1580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1073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1580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1073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1580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1073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1580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1073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1580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1073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1580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1073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1580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1073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1580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1073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1580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1073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1580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1073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1580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1073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1580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1073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1580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1073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1580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1073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1580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1073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1580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1073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1580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1073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1580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1073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1580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1073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1580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1073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1580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1073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1580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1073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1580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1073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1580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1073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1580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1073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1580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1073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1580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1073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1580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1073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1580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1073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1580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1073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1580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1073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1580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1073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1580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1073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1580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1073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1580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1073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1580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1073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1580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1073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1580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1073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1580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1073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1580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1073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1580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1073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1580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1073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1580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1073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1580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1073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1580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1073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1580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1073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1580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1073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1580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1073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1580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1073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1580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1073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1580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1073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1580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1073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1580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1073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1580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1073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1580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1073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1580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1073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1580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1073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1580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1073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1580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1073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1580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1073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1580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1073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1580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1073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1580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1073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1580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1073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1580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1073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1580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1073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1580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1073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1580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1073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1580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1073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1580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1073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1580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1073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1580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1073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1580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1073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1580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1073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1580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1073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1580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1073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1580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1073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1580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1073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1580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1073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1580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1073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1580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1073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1580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1073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1580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1073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1580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1073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1580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1073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1580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1073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1580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1073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1580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1073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1580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1073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1580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1073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1580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1073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1580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1073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1580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1073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1580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1073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1580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1073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1580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1073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1580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1073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1580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1073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1580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1073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1580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1073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1580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1073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1580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1073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1580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1073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1580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1073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1580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1073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1580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1073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1580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1073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1580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1073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1580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1073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1580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1073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1580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1073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1580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1073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1580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1073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1580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1073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1580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1073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1580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1073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1580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1073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1580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1073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1580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1073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1580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1073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1580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1073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1580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1073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1580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1073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1580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1073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1580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1073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1580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1073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1580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1073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1580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1073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1580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1073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1580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1073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1580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1073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1580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1073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1580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1073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1580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1073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1580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1073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1580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1073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1580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1073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1580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1073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1580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1073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1580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1073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1580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1073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1580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1073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1580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1073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1580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1073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1580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1073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1580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1073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1580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1073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1580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1073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1580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1073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1580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1073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1580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1073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1580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1073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1580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1073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1580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1073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1580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1073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1580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1073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1580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1073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1580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1073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1580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1073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1580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1073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1580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1073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1580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1073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1580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1073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1580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1073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1580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1073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1580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1073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1580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1073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1580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1073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1580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1073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1580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1073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1580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1073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1580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1073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1580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1073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1580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1073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1580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1073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1580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1073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1580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1073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1580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1073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1580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1073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1580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1073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1580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1073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1580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1073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1580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1073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1580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1073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1580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1073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1580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1073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1580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1073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1580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1073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1580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1073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1580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1073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1580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1073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1580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1073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1580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1073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1580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1073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1580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1073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1580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1073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1580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1073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1580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1073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1580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1073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1580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1073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1580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1073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1580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1073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1580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1073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1580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1073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1580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1073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1580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1073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1580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1073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1580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1073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1580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1073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1580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1073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1580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1073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1580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1073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1580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1073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1580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1073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1580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1073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1580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1073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1580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1073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1580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1073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1580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1073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1580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1073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1580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1073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1580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1073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1580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1073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1580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1073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1580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1073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1580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1073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1580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1073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1580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1073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1580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1073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1580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1073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1580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1073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1580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1073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1580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1073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1580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1073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1580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1073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1580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1073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1580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1073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1580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1073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1580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1073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1580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1073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1580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1073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1580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1073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1580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1073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1580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1073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1580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1073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1580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1073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1580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1073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1580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1073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1580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1073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1580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1073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1580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1073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1580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1073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1580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1073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1580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1073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1580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1073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1580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1073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1580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1073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1580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1073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1580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1073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1580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1073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1580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1073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1580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1073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1580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1073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1580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1073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1580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1073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1580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1073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1580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1073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1580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1073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1580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1073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1580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1073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1580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1073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1580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1073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1580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1073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1580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1073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1580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1073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1580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1073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1580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1073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1580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1073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1580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1073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1580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1073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1580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1073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1580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1073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1580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1073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1580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1073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1580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1073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1580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1073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1580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1073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1580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1073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1580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1073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1580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1073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1580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1073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1580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1073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1580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1073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1580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1073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1580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1073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1580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1073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1580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1073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1580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1073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1580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1073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1580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1073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1580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1073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1580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1073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1580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1073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1580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1073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1580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1073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1580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1073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1580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1073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1580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1073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1580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1073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1580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1073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1580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1073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1580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1073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1580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1073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1580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1073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1580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1073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1580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1073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1580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1073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1580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1073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1580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1073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1580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1073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1580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1073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1580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1073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1580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1073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1580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1073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1580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1073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1580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1073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1580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1073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1580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1073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1580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1073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1580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1073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1580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1073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1580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1073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1580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1073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1580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1073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1580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1073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1580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1073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1580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1073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1580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1073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1580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1073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1580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1073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1580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1073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1580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1073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1580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1073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1580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1073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1580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1073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1580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1073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1580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1073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1580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1073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1580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1073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1580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1073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1580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1073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1580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1073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1580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1073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1580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1073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1580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1073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1580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1073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1580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1073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1580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1073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1580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1073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1580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1073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1580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1073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1580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1073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1580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1073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1580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1073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1580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1073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1580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1073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1580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1073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1580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1073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1580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1073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1580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1073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1580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1073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1580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1073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1580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1073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1580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1073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1580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1073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1580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1073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1580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1073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1580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1073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1580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1073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1580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1073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1580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1073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1580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1073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1580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1073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1580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1073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1580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1073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1580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1073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1580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1073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1580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1073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1580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1073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1580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1073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1580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1073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1580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1073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1580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1073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1580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1073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1580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1073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1580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1073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1580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1073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1580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1073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1580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1073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1580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1073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1580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1073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1580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1073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1580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1073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1580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1073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1580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1073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1580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1073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1580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1073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1580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1073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1580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1073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1580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1073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1580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1073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1580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1073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1580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1073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1580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1073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1580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1073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1580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1073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1580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1073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1580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1073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1580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1073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1580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1073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1580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1073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1580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1073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1580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1073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1580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1073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1580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1073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1580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1073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1580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1073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1580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1073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1580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1073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1580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1073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1580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1073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1580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1073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1580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1073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1580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1073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1580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1073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1580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1073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1580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1073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1580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1073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1580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1073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1580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1073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1580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1073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1580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1073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1580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1073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1580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1073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1580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1073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1580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1073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1580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1073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1580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1073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1580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1073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1580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1073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1580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1073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1580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1073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1580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1073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1580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1073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1580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1073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1580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1073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1580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1073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1580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1073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1580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1073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1580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1073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1580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1073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1580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1073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1580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1073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1580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1073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1580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1073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1580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1073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1580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1073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1580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1073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1580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1073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1580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1073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1580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1073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1580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1073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1580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1073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1580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1073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1580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1073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1580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1073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1580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1073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1580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1073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1580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1073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1580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1073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1580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1073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1580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1073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1580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1073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1580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1073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1580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1073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1580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1073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1580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1073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1580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1073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1580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1073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1580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1073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1580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1073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1580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1073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1580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1073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1580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1073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1580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1073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1580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1073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1580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1073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1580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1073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1580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1073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1580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1073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1580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1073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1580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1073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1580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1073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1580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1073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1580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1073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1580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1073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1580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1073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1580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1073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1580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1073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1580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1073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1580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1073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1580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1073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1580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1073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1580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1073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1580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1073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1580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1073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1580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1073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1580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1073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1580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1073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1580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1073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1580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1073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1580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1073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1580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1073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1580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1073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1580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1073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1580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1073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1580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1073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1580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1073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1580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1073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1580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1073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1580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1073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1580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1073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1580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1073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1580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1073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1580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1073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1580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1073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1580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1073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1580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1073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1580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1073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1580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1073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1580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1073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1580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1073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1580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1073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1580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1073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1580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1073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1580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1073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1580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1073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1580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1073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1580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1073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1580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1073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1580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1073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1580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1073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1580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1073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1580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1073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1580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1073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1580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1073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1580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1073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1580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1073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1580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1073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1580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1073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1580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1073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1580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1073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1580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1073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1580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1073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1580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1073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1580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1073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1580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1073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1580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1073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1580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1073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1580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1073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1580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1073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1580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1073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1580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1073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1580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1073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1580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1073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1580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1073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1580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1073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1580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1073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1580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1073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1580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1073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1580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1073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1580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1073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1580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1073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1580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1073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1580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1073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1580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1073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1580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1073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1580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1073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1580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1073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1580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1073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1580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1073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1580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1073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1580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1073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1580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1073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1580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1073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1580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1073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1580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1073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1580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1073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1580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1073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1580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1073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1580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1073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1580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1073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1580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1073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1580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1073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1580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1073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1580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1073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1580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1073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1580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1073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1580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1073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1580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1073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1580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1073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1580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1073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1580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1073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1580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1073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1580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1073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1580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1073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1580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1073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1580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1073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1580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1073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1580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1073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1580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1073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1580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1073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1580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1073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1580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1073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1580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1073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1580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1073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1580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1073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1580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1073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1580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1073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1580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1073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1580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1073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1580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1073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1580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1073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1580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1073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1580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1073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1580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1073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1580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1073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1580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1073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1580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1073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1580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1073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1580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1073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1580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1073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1580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1073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1580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1073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1580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1073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1580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1073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1580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1073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1580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1073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1580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1073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1580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1073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1580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1073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1580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1073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1580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1073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1580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1073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1580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1073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1580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1073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1580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1073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1580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1073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1580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1073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1580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1073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1580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1073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1580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1073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1580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1073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1580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1073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1580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1073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1580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1073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1580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1073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1580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1073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1580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1073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1580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1073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1580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1073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1580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1073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1580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1073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1580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1073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1580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1073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1580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1073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1580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1073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1580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1073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1580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1073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1580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1073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1580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1073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1580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1073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1580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1073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1580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1073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1580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1073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1580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1073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1580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1073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1580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1073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1580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1073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1580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1073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1580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1073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1580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1073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1580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1073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1580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1073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1580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1073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1580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1073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1580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1073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1580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1073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1580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1073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1580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1073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1580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1073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1580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1073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1580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1073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1580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1073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1580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1073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1580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1073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1580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1073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1580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1073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1580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1073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1580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1073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1580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1073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1580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1073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1580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1073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1580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1073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1580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1073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1580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1073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1580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1073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1580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1073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1580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1073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1580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1073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1580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1073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1580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1073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1580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1073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1580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1073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1580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1073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1580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1073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1580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1073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1580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1073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1580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1073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1580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1073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1580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1073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1580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1073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1580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1073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1580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1073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1580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1073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1580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1073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1580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1073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1580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1073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1580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1073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1580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1073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1580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1073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1580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1073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1580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1073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1580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1073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1580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1073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1580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1073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1580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1073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1580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1073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1580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1073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1580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1073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1580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1073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1580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1073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1580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1073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1580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1073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1580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1073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1580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1073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1580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1073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1580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1073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1580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1073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1580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1073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1580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1073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1580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1073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1580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1073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1580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1073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1580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1073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1580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1073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1580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1073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1580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1073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1580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1073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1580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1073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1580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1073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1580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1073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1580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1073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1580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1073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1580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1073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1580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1073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1580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1073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1580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1073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1580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1073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1580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1073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1580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1073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1580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1073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1580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1073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1580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1073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1580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1073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1580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1073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1580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1073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1580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1073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1580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1073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1580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1073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1580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1073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1580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1073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1580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1073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1580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1073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1580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1073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1580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1073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1580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1073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1580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1073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1580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1073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1580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1073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1580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1073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1580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1073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1580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1073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1580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1073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1580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1073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1580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1073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1580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1073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1580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1073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1580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1073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1580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1073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1580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1073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1580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1073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1580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1073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1580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1073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1580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1073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1580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1073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1580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1073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1580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1073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1580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1073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1580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1073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1580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1073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1580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1073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1580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1073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1580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1073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1580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1073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1580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1073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1580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1073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1580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1073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1580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1073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1580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1073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1580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1073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1580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1073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1580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1073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1580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1073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1580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1073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1580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1073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1580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1073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1580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1073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1580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1073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1580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1073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1580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1073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1580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1073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1580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1073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1580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1073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1580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1073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1580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1073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1580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1073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1580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1073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1580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1073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1580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1073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1580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1073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1580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1073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1580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1073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1580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1073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1580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1073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1580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1073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1580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1073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1580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1073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1580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1073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1580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1073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1580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1073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1580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1073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1580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1073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1580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1073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1580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1073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1580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1073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1580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1073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1580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1073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1580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1073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1580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1073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1580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1073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1580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1073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1580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1073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1580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1073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1580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1073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1580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1073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1580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1073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1580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1073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1580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1073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1580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1073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1580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1073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1580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1073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1580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1073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1580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1073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1580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1073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1580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1073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1580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1073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1580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1073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1580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1073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1580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1073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1580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1073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1580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1073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1580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1073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1580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1073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1580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1073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1580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1073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1580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1073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1580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1073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1580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1073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1580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1073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1580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1073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1580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1073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1580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1073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1580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1073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1580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1073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1580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1073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1580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1073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1580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1073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1580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1073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1580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1073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1580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1073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1580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1073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1580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1073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1580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1073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1580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1073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1580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1073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1580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1073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1580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1073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1580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1073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1580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1073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1580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1073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1580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1073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1580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1073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1580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1073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1580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1073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1580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1073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1580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1073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1580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1073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1580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1073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1580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1073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1580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1073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1580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1073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1580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1073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1580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1073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1580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1073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1580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1073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1580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1073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1580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1073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1580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1073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1580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1073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1580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1073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1580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1073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1580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1073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1580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1073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1580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1073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1580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1073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1580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1073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1580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1073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1580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1073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1580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1073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1580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1073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1580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1073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1580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1073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1580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1073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1580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1073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1580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1073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1580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1073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1580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1073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1580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1073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1580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1073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1580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1073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1580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1073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1580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1073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1580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1073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1580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1073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1580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1073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1580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1073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1580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1073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1580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1073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1580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1073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1580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1073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1580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1073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1580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1073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1580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1073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1580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1073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1580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1073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1580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1073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1580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1073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1580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1073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1580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1073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1580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1073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1580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1073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1580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1073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1580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1073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1580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1073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1580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1073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1580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1073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1580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1073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1580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1073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1580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1073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1580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1073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1580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1073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1580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1073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1580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1073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1580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1073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1580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1073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1580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1073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1580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1073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1580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1073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1580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1073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1580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1073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1580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1073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1580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1073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1580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1073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1580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1073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1580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1073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1580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1073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1580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1073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1580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1073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1580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1073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1580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1073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1580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1073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1580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1073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1580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1073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1580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1073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1580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1073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1580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1073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1580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1073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1580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1073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1580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1073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1580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1073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1580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1073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1580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1073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1580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1073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1580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1073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1580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1073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1580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1073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1580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1073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1580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1073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1580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1073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1580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1073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1580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1073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1580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1073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1580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1073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1580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1073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1580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1073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1580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1073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1580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1073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1580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1073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1580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1073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1580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1073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1580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1073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1580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1073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1580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1073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1580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1073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1580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1073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1580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1073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1580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1073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1580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1073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1580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1073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1580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1073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1580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1073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1580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1073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1580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1073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1580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1073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1580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1073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1580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1073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1580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1073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1580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1073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1580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1073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1580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1073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1580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1073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1580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1073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1580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1073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1580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1073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1580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1073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1580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1073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1580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1073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1580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1073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1580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1073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1580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1073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1580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1073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1580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1073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1580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1073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1580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1073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1580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1073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1580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1073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1580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1073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1580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1073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1580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1073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1580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1073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1580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1073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1580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1073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1580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1073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1580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1073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1580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1073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1580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1073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1580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1073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1580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1073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1580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1073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1580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1073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1580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1073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1580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1073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1580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1073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1580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1073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1580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1073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1580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1073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1580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1073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1580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1073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1580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1073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1580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1073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1580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1073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1580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1073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1580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1073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1580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1073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1580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1073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1580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1073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1580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1073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1580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1073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1580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1073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1580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1073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1580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1073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1580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1073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1580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1073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1580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1073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1580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1073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1580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1073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1580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1073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1580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1073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1580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1073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1580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1073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1580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1073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1580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1073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1580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1073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1580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1073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1580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1073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1580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1073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1580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1073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1580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1073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1580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1073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1580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1073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1580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1073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1580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1073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1580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1073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1580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2023-12-29T11:53:56Z</dcterms:modified>
</cp:coreProperties>
</file>