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grate_data" sheetId="1" r:id="rId4"/>
    <sheet state="visible" name="Sheet2" sheetId="2" r:id="rId5"/>
  </sheets>
  <definedNames>
    <definedName hidden="1" localSheetId="0" name="_xlnm._FilterDatabase">migrate_data!$A$1:$G$1098</definedName>
  </definedNames>
  <calcPr/>
</workbook>
</file>

<file path=xl/sharedStrings.xml><?xml version="1.0" encoding="utf-8"?>
<sst xmlns="http://schemas.openxmlformats.org/spreadsheetml/2006/main" count="2880" uniqueCount="1826">
  <si>
    <t>Address</t>
  </si>
  <si>
    <t>Amount</t>
  </si>
  <si>
    <t>StartTime</t>
  </si>
  <si>
    <t>EndTime</t>
  </si>
  <si>
    <t>BoostRate</t>
  </si>
  <si>
    <t>0xa14937BCC780EC02a1D05C602d4d0A11541AF5e8</t>
  </si>
  <si>
    <t>0xC6B0B4bB6546573815705Dc37C2Bd41d5CA0D770</t>
  </si>
  <si>
    <t>0x3e0CE6Cdd5216580A975Ac9A4a27c1A4d80F414b</t>
  </si>
  <si>
    <t>0x5EacB01f58F8E10a7131094eD8443eB6bf07083E</t>
  </si>
  <si>
    <t>0x70eE52A30A3A7A87b6deD61f518E32c2C2032936</t>
  </si>
  <si>
    <t>0x44a0EC1866F12341402A10d284f0a40E330A117E</t>
  </si>
  <si>
    <t>0x1B8851334543caB8A55FcF09A5b83Bb8F79c369a</t>
  </si>
  <si>
    <t>0x714dF69D0b03CD854424561c1F81c58FCE1eC94D</t>
  </si>
  <si>
    <t>0x2040D0316F726d87eFbCd23aa37e0295F7F42F42</t>
  </si>
  <si>
    <t>0xb815A4a7210683cB7c8275af7D4736e19CE4b913</t>
  </si>
  <si>
    <t>0x77068C3ddFE707295615a9Ad9cB9108Fd7D62e7c</t>
  </si>
  <si>
    <t>0x8B279CB449C6C9DACdb92408f93071D744793781</t>
  </si>
  <si>
    <t>0xA77DAD27767892a8E30881302e95AAaA97b27C42</t>
  </si>
  <si>
    <t>0x22393Dd6BDD27948aB61aBA0C0B739bCBE346bC1</t>
  </si>
  <si>
    <t>0x9310C65686B7B71061182fa4f5267c85bFBA9f4f</t>
  </si>
  <si>
    <t>0xa54560C482C98312804043c73B48Cf8c39904E2b</t>
  </si>
  <si>
    <t>0x09Fc3B4e7E03dE9856d60AEEf685D6Cc559dbEe0</t>
  </si>
  <si>
    <t>0xf5fBFD2b4F3deb2b24608C6868B1985b6eFA12c6</t>
  </si>
  <si>
    <t>0x5A4e0dD0Bd5aF91daD1B927bd4c7440c6Bc13F6d</t>
  </si>
  <si>
    <t>0x245893C35372601F5BFE298ADc13a760c4537442</t>
  </si>
  <si>
    <t>0x61135C98bDe9b9713eb50643dfc76Fc820A8e0a1</t>
  </si>
  <si>
    <t>0x93C7F4472C772e36ba93A3E8A576195F7fE23b74</t>
  </si>
  <si>
    <t>0xaB5F41046d7c480cd215a84A04BB44Da8C9A1967</t>
  </si>
  <si>
    <t>0xbbDCAcbaA278576dBFca6eA04542F3A752eaD3f7</t>
  </si>
  <si>
    <t>0xa85A93F55d492A7B2f81fBA257a3F2DD98D2f9e5</t>
  </si>
  <si>
    <t>0xd0FEE464672D669AbF922bBB2eaB4650928b16d4</t>
  </si>
  <si>
    <t>0xCB027637eFA7341CBAbec04cF480e648845A534c</t>
  </si>
  <si>
    <t>0x17A65A2817c72D2BDdcE296E55a7f36ecaA021cB</t>
  </si>
  <si>
    <t>0xAee4551348AaFc6C1d3317C7a82aE30c71B535D7</t>
  </si>
  <si>
    <t>0x7117F7c4617544fD417c90b8Bb92683162fC1953</t>
  </si>
  <si>
    <t>0x44c77b5662a5E7Fa21E1F4186B700bAEb77264Ed</t>
  </si>
  <si>
    <t>0xe53c128Bf110886735aF519A8c1F31db7AF3Fcf1</t>
  </si>
  <si>
    <t>0x12EAe2eAae478CFEff4B93A43B0c9F1878ef58F0</t>
  </si>
  <si>
    <t>0xa1B93148621DB6bdd27280839bB4a7ac47041639</t>
  </si>
  <si>
    <t>0x4b513e111768cd236EA4E4789F336FcE28377De1</t>
  </si>
  <si>
    <t>0x0c6E4AD4dE983A63C3A772D947e1036C6A4DD242</t>
  </si>
  <si>
    <t>0x3A3D6078391afaa4bae98198c814dCE8b1F179C1</t>
  </si>
  <si>
    <t>0x9f9b55032d1BbEC1973cd0eFeA6e27B68CB10E73</t>
  </si>
  <si>
    <t>0x7B6B39c4e06ba063A335826590fbc92C854d504e</t>
  </si>
  <si>
    <t>0x2827500443D3cF6C4C9cbf174a6597fD1de11161</t>
  </si>
  <si>
    <t>0x3938FB65706278c1282230e65d5c5c9208e34CEa</t>
  </si>
  <si>
    <t>0x2b47152Db538116944Ff0468614e0D66A0b09A1e</t>
  </si>
  <si>
    <t>0x110529C8eba225A92beA3Ac10A2BC3f5cD17e156</t>
  </si>
  <si>
    <t>0x7821F564A33Ee3542F23b534A05f4ea8635D0a15</t>
  </si>
  <si>
    <t>0xA9159252D61ecD21ADe605b81A98970eA03Aca07</t>
  </si>
  <si>
    <t>0x1AE143a7a78597661aF538e53D57A271bE19e77f</t>
  </si>
  <si>
    <t>0xB4C8fF04B895777b920F43E047AafC03ec3156ad</t>
  </si>
  <si>
    <t>0x40069628f3f7931536c8e06Cd9d04b531707E5bc</t>
  </si>
  <si>
    <t>0x589aAD84d2E8f9F742b9b8DbD72212446c8F26f7</t>
  </si>
  <si>
    <t>0x7c778f7282229ea53d619bC548e24471887FFc30</t>
  </si>
  <si>
    <t>0xB7779fDD0306807A72Df9Cff93a71fdF998b4A0E</t>
  </si>
  <si>
    <t>0x0BD99065d5AD4E1f602A1b047c0EDd9BcB14A24F</t>
  </si>
  <si>
    <t>0xCbF6CE49Fc40Ee32F897453F110A8742A673bFea</t>
  </si>
  <si>
    <t>0xd955Dd313E4D7dAA34145d073F451b0244eC5C53</t>
  </si>
  <si>
    <t>0x5710aC178A396F8095DC19E2CD5747887a1d3e04</t>
  </si>
  <si>
    <t>0x0E355042caDdf2be683fB6635402b6Fe8b559943</t>
  </si>
  <si>
    <t>0x6a9d1F5D145476cF58fcBdfD3068fde9fF2d4d49</t>
  </si>
  <si>
    <t>0x634Ae7E94b6FD5D9d4f4b371D56eb5cDe61F1B87</t>
  </si>
  <si>
    <t>0x62DDcaf4Afe5a5f4dc2B4f8c96310E4cd34e686B</t>
  </si>
  <si>
    <t>0xA1011356ac9d3Bbe74C8FFDD1d748Ee140dD20A6</t>
  </si>
  <si>
    <t>0xAF5aCAC65985Ed5fbD49176Cb9f0cd99ead2BEf4</t>
  </si>
  <si>
    <t>0x83F58A9496a72E0473Cc3bAd4994C7d5A147B9C5</t>
  </si>
  <si>
    <t>0x3A8b29F873D79132416d37c87b015c46eaBa239f</t>
  </si>
  <si>
    <t>0x15a45Ee4E3Da5d82D85B162Fb0A53d9afFE9F2d6</t>
  </si>
  <si>
    <t>0xBFB2e13b4064E6263239B64050bbC47536A6dE9D</t>
  </si>
  <si>
    <t>0xC1ffE9031D00E929F23f7BA0945ccEdc6B53db58</t>
  </si>
  <si>
    <t>0x0ccB1A8bA3C391D44B6e970441cAaD6155e5213A</t>
  </si>
  <si>
    <t>0x9Fb5e6E988A0eD637b51064332F3125dBF9e8771</t>
  </si>
  <si>
    <t>0xD002D6D5e3b72fBfa69a8fCEe9D6B00e9F777BE0</t>
  </si>
  <si>
    <t>0x13A5867c3AB4CD97843B8C456Db39E5c84173867</t>
  </si>
  <si>
    <t>0x986003Ff226207914eB0d94e3460f30671F78d59</t>
  </si>
  <si>
    <t>0x04CF2beFD1692011a5F9dd796E9108B86040FAC5</t>
  </si>
  <si>
    <t>0xcC6Cd02f444E04E737537CF2C944fF019720F20E</t>
  </si>
  <si>
    <t>0xaf75dce7365A61D1EADaF4B6827eCc11D54eE1dA</t>
  </si>
  <si>
    <t>0xD3b60a4a0f98805CFE12EFF107FC236f34bCc957</t>
  </si>
  <si>
    <t>0xDa6c6593195e35E45Fa76931C49d3Baa2F8888F1</t>
  </si>
  <si>
    <t>0x7186Cb8DDd6c027fbF29eDF10e2Bd5C7db246366</t>
  </si>
  <si>
    <t>0x1A9064160CECCBbb8E2830ac0B7c98B6533f10f8</t>
  </si>
  <si>
    <t>0xeAA9Acf7207d075994AB151b4DD454AfC9a68890</t>
  </si>
  <si>
    <t>0x213B9BFe814Cea3932DDd1F48Be3C293dD2b76bA</t>
  </si>
  <si>
    <t>0xA825721a40eD9B528254aE6E311F4255294441C6</t>
  </si>
  <si>
    <t>0x525117e7FC7eA65DCff96f4c14ece4Ed094563f5</t>
  </si>
  <si>
    <t>0x985B9f80295109a31Cf596C3821084421c938718</t>
  </si>
  <si>
    <t>0x3be5A5A6C8A00D2d0B68AfBbC02F553C72A94F4A</t>
  </si>
  <si>
    <t>0xe82cB3D1Cb44d463750680b6cEe8662856262aE5</t>
  </si>
  <si>
    <t>0x35610E5431124fc9dF83d775648A5A1251EFfAc7</t>
  </si>
  <si>
    <t>0x2506072115e546825fAbd59fe6450cb89eEEb39f</t>
  </si>
  <si>
    <t>0xFD52d60F8d516e9b2983955043B8408681178287</t>
  </si>
  <si>
    <t>0x3aeb1E51D7e66bC83cd61a8A69EeaDAB863646E4</t>
  </si>
  <si>
    <t>0x5dc1b1221C23eC9EDd92c546c9bbA19e9CFBA1D0</t>
  </si>
  <si>
    <t>0x54e5d237A8ebA060cEF2478D4B65D917843A583A</t>
  </si>
  <si>
    <t>0x2Fa6401AE4cbdE9C26EF6ccbF459386F90EF03DF</t>
  </si>
  <si>
    <t>0x853519802D8eD00bCA69c8517699E877BD59e394</t>
  </si>
  <si>
    <t>0x664Ca8Ed2F2C25EE21718739624E554ab000272e</t>
  </si>
  <si>
    <t>0x22D95E7cDB49ff283a4340A96221F8d2650cCE16</t>
  </si>
  <si>
    <t>0x2d51AF3F1cDa71fdE144c6681a7d94A00eB3113A</t>
  </si>
  <si>
    <t>0x8910209B50743769941425D189588AcAd48De5B2</t>
  </si>
  <si>
    <t>0x526b2DA1C3fF91408837aaCc5A4B6e8aD40E3557</t>
  </si>
  <si>
    <t>0x17B4af80270EAaE1A03da609c37A4965C6960323</t>
  </si>
  <si>
    <t>0x8ae99b2629e4A7150804fbbFDF83800BAa2063ef</t>
  </si>
  <si>
    <t>0x76c5702eD80cfF27CD10a14ED04d54886841C7ED</t>
  </si>
  <si>
    <t>0x454Fe5c7E2EB0Bf5f8586C15Af2f598e21CE0751</t>
  </si>
  <si>
    <t>0xc08bD04954528BEEA01829f8cA8dcC49c6abdACf</t>
  </si>
  <si>
    <t>0x1C722831a57aac503C2E04CB36Ff647008D7B698</t>
  </si>
  <si>
    <t>0x5b34D45C17CD13Da32a1054Dc3D6DF846e89cDAE</t>
  </si>
  <si>
    <t>0xc6b5A0709114BBf8f928Ca334c4D29b1DF6581Db</t>
  </si>
  <si>
    <t>0x153702FaE15a3921e6F75FFCc830398d1E495418</t>
  </si>
  <si>
    <t>0x4d2aa0F0896B67d3c6C1360d02211423f3A8D62F</t>
  </si>
  <si>
    <t>0x4c580AfDBaEc1bbBadb769e5cC4553fB1e46F6C0</t>
  </si>
  <si>
    <t>0x68f70e7b0085a7C3B18DFD8c50dda6DFACc8776D</t>
  </si>
  <si>
    <t>0x0A6429220Eab24E6356219D4F3C834AE2EF19800</t>
  </si>
  <si>
    <t>0xEb88cD5B8B11Deca5A157d625BB3c6c491d71014</t>
  </si>
  <si>
    <t>0xa7F258B70d9A15eca4d1F26297D864b679E1885F</t>
  </si>
  <si>
    <t>0x27509D54f1274381dE57a9845489a4CF5D072CF6</t>
  </si>
  <si>
    <t>0x86B79b2216CC4c3a228612D4a37E45c1ec7aB9EC</t>
  </si>
  <si>
    <t>0x97eA55636fb9B87C6DafE944928cc8eE5D948627</t>
  </si>
  <si>
    <t>0x694D0ceC7957728E206238CD76e198e47B0C75ed</t>
  </si>
  <si>
    <t>0x5f0A6ff8Bff3C97f5C8Fc976b0f1b01eb4589b22</t>
  </si>
  <si>
    <t>0x6E87983Cc9EF27322575f817Fb035FD431bec5e6</t>
  </si>
  <si>
    <t>0xCdc79209dd7e808eAdb6105052D6816e54144a65</t>
  </si>
  <si>
    <t>0x735b0873f672ce9F6782b5f923FB4ecA00221A64</t>
  </si>
  <si>
    <t>0x856e04Fdc30b776510556E57b0f55c5a26Ff1859</t>
  </si>
  <si>
    <t>0x6637E9bb781D04365fA269ea66bD55bB8dF75B85</t>
  </si>
  <si>
    <t>0xD84a85a0970e17f15ea5b5cb02C3e7b1B9513E6d</t>
  </si>
  <si>
    <t>0x8A8265FE66370266B54e09fB402381a711123e35</t>
  </si>
  <si>
    <t>0x92460adDE52D4A683D8B3A1F5e3124E1DE890b5B</t>
  </si>
  <si>
    <t>0x248Dbf55622091aFC6A87552cDca506ADcF27C7A</t>
  </si>
  <si>
    <t>0xf8ed6b190dD32DEaf9cD84440795cD4AB8A9C388</t>
  </si>
  <si>
    <t>0x97718C1B12C070d4e5Aa5D6a763600eF0926CfeF</t>
  </si>
  <si>
    <t>0xFCA9deeB6caB6520d14E43aEB064A6224089458d</t>
  </si>
  <si>
    <t>0x5Ddc65a10D7b45B34f8A24179d178E1CeB252ff4</t>
  </si>
  <si>
    <t>0x3C60a290a7b7e3eB3D235d1d9CFa93803e6FEAD7</t>
  </si>
  <si>
    <t>0x85EC4113c3BFD137dE3d6174d1CABB3b0ab05258</t>
  </si>
  <si>
    <t>0xBa1D955D019474D51090db7Fbd84dcC5Caff6520</t>
  </si>
  <si>
    <t>0x2744D5E489a9a22C68A288cB4225d07ba62551Ef</t>
  </si>
  <si>
    <t>0xCDc55482dcA0c9bA47eEA87c3a9779E393993db9</t>
  </si>
  <si>
    <t>0x5a35C68F5ab6a0b6216AF07b4845c6353D3877c6</t>
  </si>
  <si>
    <t>0xe57F1892A709D8108b549CadbF04d65635C892D7</t>
  </si>
  <si>
    <t>0x9ED44BF27657CCCAf801e253B6fdd21E80593F89</t>
  </si>
  <si>
    <t>0x8Cf1a37e9bc7Cca02E42E8eB69439953001a29A9</t>
  </si>
  <si>
    <t>0xcCfBf1f4458bAD5167D4bfCAf9CEfc1aC8cC3684</t>
  </si>
  <si>
    <t>0xC135a19B462A1Bda315026Cf66fbe17fA9f1A5B4</t>
  </si>
  <si>
    <t>0x74550C01406d39A460FDAAB572E103cEe02D9170</t>
  </si>
  <si>
    <t>0xA859B67d223b945a9d172A6207Ee55a1aa9BeA7a</t>
  </si>
  <si>
    <t>0x1766eD8f84F36ED6610dB4eAFC28c88c7dd45c11</t>
  </si>
  <si>
    <t>0x4F076F5B36B88cee7d1ee02261564A22e37c8326</t>
  </si>
  <si>
    <t>0x9a6B97dC95F93DF56e6a0EF278B3D494a2C0027C</t>
  </si>
  <si>
    <t>0xa62b86D401953754814dC2d7d25810488BE220f7</t>
  </si>
  <si>
    <t>0xac9df7abB6f407282F161731Dfa1F7b29Bb6e04B</t>
  </si>
  <si>
    <t>0xbE777159122B491C7e4AE465b534068bb6a7b752</t>
  </si>
  <si>
    <t>0x46d27b7024c5394d5505819Df180E1C941b325F8</t>
  </si>
  <si>
    <t>0xdF5d39e99b34103965FfE4A8Ea0615D707Db47f0</t>
  </si>
  <si>
    <t>0x5EC52f2446DCB4A16945de326dC6746C1ade9e1F</t>
  </si>
  <si>
    <t>0xf8AD35E3d0cd91B43E647Be2450c859620D556d7</t>
  </si>
  <si>
    <t>0xd549F0695D301141c406a50788e3fCBba94B60bb</t>
  </si>
  <si>
    <t>0xb6ea5730F9AF1437630Cd9e3B4dEeDdc90A646f7</t>
  </si>
  <si>
    <t>0x1116Eb68231f8220dD6042606E188765E2a0D5C8</t>
  </si>
  <si>
    <t>0x3f18F7E76AdEa512Ca55FA603796F808d9d5e9Dc</t>
  </si>
  <si>
    <t>0x2d1fE18E0a00255eb60e948AF1Bde47b57021E12</t>
  </si>
  <si>
    <t>0x13c090A1Ea7b7c21f636a6d9e2C4cdb6e9dA641f</t>
  </si>
  <si>
    <t>0x9CEb64a77ce7FDfB0fFE7740F924C7b7346e6e2F</t>
  </si>
  <si>
    <t>0x2330Bd46B5478c432030e0292e2990a0A28484Fa</t>
  </si>
  <si>
    <t>0xd25e4d6Ac8f51E03FBd1b02E52b14E845A6b4EF9</t>
  </si>
  <si>
    <t>0x46c8C44f06Bfb1Fa0435DD8dDeE39e87E52b12E5</t>
  </si>
  <si>
    <t>0xC5aDF0f772eca6B49885E02Ec74eDf22b2f7dE49</t>
  </si>
  <si>
    <t>0xD5D92A54e011064365F3d7ce9763b8bC46bBe40A</t>
  </si>
  <si>
    <t>0xEec11D7be9006c3a3b4a6409249fD76a7E13BC7e</t>
  </si>
  <si>
    <t>0xEC2FB045B5337f0c5Cc0D222EB3a8f130ebfC4B5</t>
  </si>
  <si>
    <t>0x453c6Ec964115298014B465662014ba0b4d9Bcc5</t>
  </si>
  <si>
    <t>0xE0C8D44B430Ef23B73B73EEDAD9819e0c1fCa506</t>
  </si>
  <si>
    <t>0xBf0CA400B7B6D525b23Bb0A2ebaF96a14dEb3554</t>
  </si>
  <si>
    <t>0x9BFFf8A24C9C082e0b671ECe3f373AA6722997d6</t>
  </si>
  <si>
    <t>0x70676AD9470499F6aa20BB385a9678878e6f1BB4</t>
  </si>
  <si>
    <t>0x814E891e4A2FE873BFCf6dA8024d181EcCA5d5B4</t>
  </si>
  <si>
    <t>0x7789DB7E2610744CEe7e1BDEff5EBCEf72626B8f</t>
  </si>
  <si>
    <t>0xc5c1a49f1776f9E79984a59620C796fb6bb66de4</t>
  </si>
  <si>
    <t>0x416DB2ADF96E794D56Df090706D13b9662E97A48</t>
  </si>
  <si>
    <t>0x159e92E2d2c29A40E5c3E8c3352BD75AB62dA909</t>
  </si>
  <si>
    <t>0x84D542a7e881eA39835CE9Be113A840010f9f934</t>
  </si>
  <si>
    <t>0x1dA8Adaf35faa0C2072E0f80D7Ac9125820b5CB7</t>
  </si>
  <si>
    <t>0x8b4500cF4BE3152a38e0E916d93C107c2da58D00</t>
  </si>
  <si>
    <t>0x8634c3985Fe6934b1B27F8f52cf8cb28CfD773a5</t>
  </si>
  <si>
    <t>0x09b814b1c13f2A8763A435ac18475EEcD2C555b4</t>
  </si>
  <si>
    <t>0xCE9A127AE64500761e604b2F12d024913f76D6A6</t>
  </si>
  <si>
    <t>0xc042bf7E1848e05D17E1532A48441A51640376D3</t>
  </si>
  <si>
    <t>0x478755409647706C2C362727Ee8c94cCF2E6555a</t>
  </si>
  <si>
    <t>0xdA7D67e853f770ae21E0004fFEDC2D6E1858233b</t>
  </si>
  <si>
    <t>0xD111F9a73f11F8c0c7aAF3C6fE2B5F950197D9a3</t>
  </si>
  <si>
    <t>0x8e383b1A589A92ee88E013146F7Cd23e49553515</t>
  </si>
  <si>
    <t>0x1059F5A70a9c76bB7eefB03b6e750C7fF6C33470</t>
  </si>
  <si>
    <t>0x921A1A938A80B24bf73e466bD8600f2D9319EcDD</t>
  </si>
  <si>
    <t>0x46dD1fa3a9633036b38Bd4004e01acd8A9681A27</t>
  </si>
  <si>
    <t>0x9a3aeC523537e110415De4dF941B1f393A26Db31</t>
  </si>
  <si>
    <t>0xcE79A4157f804D71FfC3A940a7768858Fa691655</t>
  </si>
  <si>
    <t>0xaBB3154eD4253B3E7ACE593De5c05BB37BE922C2</t>
  </si>
  <si>
    <t>0xf6FbEE4961cF9f811C59b7FB3984a870C792Ee2E</t>
  </si>
  <si>
    <t>0x3fc007e3292f63068C3e1344c9562Bf9B2d2d4B0</t>
  </si>
  <si>
    <t>0x31AAB69DdF48e9b902548013B9B76F3f533047e6</t>
  </si>
  <si>
    <t>0x7829b5d040EfF5da152b86a22Fbf64DBdC06119A</t>
  </si>
  <si>
    <t>0xd40a448219BE849aec71B7f572259503a039E2CE</t>
  </si>
  <si>
    <t>0xE5Ff46831C6267FCDaf64a2f3BE9DfeF1C8b33d2</t>
  </si>
  <si>
    <t>0x50a1CEc24A9d7188102A39C97cBa5043c9501C01</t>
  </si>
  <si>
    <t>0x7994F44a444dA3b921F6a98f08b2be619C220548</t>
  </si>
  <si>
    <t>0x5E86BeE17cd442AaE251D129537e4C448b3be539</t>
  </si>
  <si>
    <t>0xc45D53C5fBba3C879eFA3a039a7e1E80D9c1C5b4</t>
  </si>
  <si>
    <t>0x03eBF5f55d0732c29c703c9aD5243632f88F56d2</t>
  </si>
  <si>
    <t>0x04B4DA6962c49875Bd0Db0f886ae88D2cdB80B9B</t>
  </si>
  <si>
    <t>0xF8D2cf20d707207AdF5ca126F56Ca00A798695DE</t>
  </si>
  <si>
    <t>0xe30DB002d6Fc266E75bd47549070e68FD8671A4A</t>
  </si>
  <si>
    <t>0x2E7EF4e92D48E84aa3ECb25B630912599E9B2F09</t>
  </si>
  <si>
    <t>0x7FE70D99cEbb9f045Ed4D955d9158AE7b9fe63bA</t>
  </si>
  <si>
    <t>0x7275AAE32A3a7eDfFdd53E738629ade8Df12fED2</t>
  </si>
  <si>
    <t>0x8dD58e8146D369337ADaB638C96B0dBD4bB3763a</t>
  </si>
  <si>
    <t>0xBCd8DE0BD31d45C9a25D15fab4008e08a2119C70</t>
  </si>
  <si>
    <t>0x4Ba6a1CA2Eb57652208fD1b72e57246dc0382b6E</t>
  </si>
  <si>
    <t>0x8eBD4b5E4E0e9149aFa29CD6c551cbB3d0a7c5FB</t>
  </si>
  <si>
    <t>0x6f4F3069Bd2dB679A5f81e6fD79Ae232D66E72D7</t>
  </si>
  <si>
    <t>0x5F8577da7aB1Da08921266254759Cdec3b7f27C2</t>
  </si>
  <si>
    <t>0xeA223CB590C7Ae5Fa1c86Ed64f54ce80FD810AEa</t>
  </si>
  <si>
    <t>0x2a93154A5E2D44b7d0041079420AEBCfec06F092</t>
  </si>
  <si>
    <t>0xaD4D1D3ef4637094424Ac3764dD70F43ba446F99</t>
  </si>
  <si>
    <t>0x48CC58867fdabB254A28Ff79DDb347029eBd3e7E</t>
  </si>
  <si>
    <t>0xA3A5A6FFcA265e508e78C3f528eB13194Ab11ebb</t>
  </si>
  <si>
    <t>0xfF9977B7405aEDC9BDc586DFE3d88fFc0678a4B1</t>
  </si>
  <si>
    <t>0x2bccf2fb4A817B485Cb7a995778c92C8052D9a0F</t>
  </si>
  <si>
    <t>0x5Cb097cCa993a3D209b8BeD78CB0a15B10ca1226</t>
  </si>
  <si>
    <t>0x622Dde5Df48a2e6E73a7aFdd8e7122E510CF5Fd3</t>
  </si>
  <si>
    <t>0xe23c2083aAF3528297525a529f86e4055b564d69</t>
  </si>
  <si>
    <t>0x363044A53140c56391bFD634C03c26d08adDed25</t>
  </si>
  <si>
    <t>0xb3705732327be1AD344b3edA1F84b6B59511C9A5</t>
  </si>
  <si>
    <t>0x124804E70BfF27A6e41F76D6bb84eB86a4509d6e</t>
  </si>
  <si>
    <t>0xA914eAaCE554E4A76105B2D0444f1be81cd13cA6</t>
  </si>
  <si>
    <t>0x8a2CD0DfEEFE0a5d440635F806460C540ef654a4</t>
  </si>
  <si>
    <t>0xE341723E4720B78004276803fc6bA5051995Ad29</t>
  </si>
  <si>
    <t>0xf21A3a1aaa19F6e0Cf022AEb77a3B086eE6E4487</t>
  </si>
  <si>
    <t>0x0EbEFF79333E909A4d3015b7244cf3D0e61c94D3</t>
  </si>
  <si>
    <t>0xfA92D52a4CEFBC7eD4bf46F5d7A4eE0C44BeA077</t>
  </si>
  <si>
    <t>0xd65c85Fb1C4C1575fED57d081bf19e4743BBd9c3</t>
  </si>
  <si>
    <t>0x388b18a8531229877b24aD28C36960F3918c4DBc</t>
  </si>
  <si>
    <t>0x184edaC05f196365F1D86e23C29E9B2D9E847C34</t>
  </si>
  <si>
    <t>0x59d158d78d8C44D4F50739Eed0756BbEd8A58ADa</t>
  </si>
  <si>
    <t>0xb6f2720a70e2A6CAe19bE781B4962DF85D828B2d</t>
  </si>
  <si>
    <t>0x7268866Ce998dAFc33F93D0d9a29563160292bDd</t>
  </si>
  <si>
    <t>0x8Ea0d759dd8d925Bfd9Eba905FEf536eCE72F860</t>
  </si>
  <si>
    <t>0x94990F541Eea20b5aE4c11E9D95cbEb0C48ff6AC</t>
  </si>
  <si>
    <t>0xa863Fa8dB737e7f8092E97016fE440D3663D3c0c</t>
  </si>
  <si>
    <t>0x59a778F535f855429f8233A28fe0a9A72566eAd1</t>
  </si>
  <si>
    <t>0x05d78D5A424564776Ace44Ee3e363Ba200e7e1c1</t>
  </si>
  <si>
    <t>0xff4dcDd78945d39C2fdb0273ddC4455010271f0e</t>
  </si>
  <si>
    <t>0x7caF3a4b70719fB03C66eb3EF43803a0f6911DC5</t>
  </si>
  <si>
    <t>0x82c3B06b14AbC459F3f1DFAe113aCc4221d7B15b</t>
  </si>
  <si>
    <t>0x2d6A6117416fDAf35B183A03113Ce535c797e6dd</t>
  </si>
  <si>
    <t>0xb6B675994a7D0a5cE69875370c94De9b4BeB4cF7</t>
  </si>
  <si>
    <t>0xcE49d7f2Ad482Ff89144520476A0b42D48665edF</t>
  </si>
  <si>
    <t>0x08d73469986E53a94B4e869F59DB86314E90aD4A</t>
  </si>
  <si>
    <t>0xD5e967Ad65d5AF1657D706EfA31f546038A56857</t>
  </si>
  <si>
    <t>0x9c8A3EbbdAae90c1a81adcfab8e3d4e8bDeAf629</t>
  </si>
  <si>
    <t>0xEec694D28C894d4EB628c5fb3A96323921619580</t>
  </si>
  <si>
    <t>0x8115B5531b35Fe14B087edDcB499F9864034321d</t>
  </si>
  <si>
    <t>0xF69edC2E1b35C6868c7434Df74c34F26d1AE0E50</t>
  </si>
  <si>
    <t>0x10a8fA91c740F39DbFD096D4f2aa66d845a01dd1</t>
  </si>
  <si>
    <t>0x3787c4ee94f7E9275254dD0Efd5969C6f3bD0CBF</t>
  </si>
  <si>
    <t>0x9896E09DCD92fD154f69a21C905236dDEAa3E735</t>
  </si>
  <si>
    <t>0x1C3D670B79BB04869006a0515C9A31EE554f98Ee</t>
  </si>
  <si>
    <t>0x0a725223d2973C4432DcdDaB04Db955b4Aa06e8a</t>
  </si>
  <si>
    <t>0x3A53489B0a69202a88F05Ec880291Eeb6a5C5345</t>
  </si>
  <si>
    <t>0x287f3acf21bc0298603e8a5F7d062f8F650DdE68</t>
  </si>
  <si>
    <t>0x81e881d17199f7754c1E068408Dc7475339f4453</t>
  </si>
  <si>
    <t>0x773e1f1BeA827199d9d80F2b1a9d0c0E6fb3f5e6</t>
  </si>
  <si>
    <t>0x8418E313FE285b7C9B6807FB9F5E3BF4b951Ed48</t>
  </si>
  <si>
    <t>0xc06CBFC0d9Fa952aE2feDB40279F8336DED58fa0</t>
  </si>
  <si>
    <t>0x5B7316c5fe04E394876088675cF0EdfC70816437</t>
  </si>
  <si>
    <t>0x9a93C5f62B43390d46F40dD0744681380F78A6E5</t>
  </si>
  <si>
    <t>0xF6802C2062D829dc674661bb334822417193Be32</t>
  </si>
  <si>
    <t>0x2E1d2aF3Dda5Ffb6EDA0BfC146b7084E772907a9</t>
  </si>
  <si>
    <t>0xe15EAF4D4BEE12b51eab87bee8784015826eFC4b</t>
  </si>
  <si>
    <t>0x7bbE13074b370b0aD9fAeD52637A39BB3565BC5f</t>
  </si>
  <si>
    <t>0x8B055bF5A90B9f30330fbc0B879419303f3764C7</t>
  </si>
  <si>
    <t>0x8d5F39415c4Ffd0e501b37727391211C1B2385C3</t>
  </si>
  <si>
    <t>0xd4c758B9eB886aE98c99Fe68A472efF63a5801B7</t>
  </si>
  <si>
    <t>0x82F33cA24566F936134f26882A29A01CB916E516</t>
  </si>
  <si>
    <t>0xfEf25537Bc84b55728Dc737F3b3D6f4465598Fb1</t>
  </si>
  <si>
    <t>0x96912BcBCE2361aF486ee79cC5e16232A19e3733</t>
  </si>
  <si>
    <t>0x2DE03B2d9C2e58ECD14c42BC7130856836fe058D</t>
  </si>
  <si>
    <t>0x0d63e598c18b1a8D6960Cf114FDb96c5D7422ca3</t>
  </si>
  <si>
    <t>0xb51d813Fa01300Db34bf6B22F0084C3084Ef12a4</t>
  </si>
  <si>
    <t>0xB9Cf862073981cdE486893Fab140E845D33fE215</t>
  </si>
  <si>
    <t>0xc94283AD4C7205DA0A986ECf35C711ab52242393</t>
  </si>
  <si>
    <t>0xbf95a3489B77114c7B38af0c06183F1459E249Be</t>
  </si>
  <si>
    <t>0xa6be02B0Ff40CE9812becB92E0C1F7f0c711a119</t>
  </si>
  <si>
    <t>0x5A18462D73aeDD735D51f722fcFc6ffaF840773d</t>
  </si>
  <si>
    <t>0xEA9123dA7700f4B1B170b7C41bd5124EAE6701BB</t>
  </si>
  <si>
    <t>0xe1618326a0843D8e12695d92002EB22942A0f41e</t>
  </si>
  <si>
    <t>0x2A1659607b6b9D79cCB27EED6045908F5aA1b416</t>
  </si>
  <si>
    <t>0x1461C4DaAdFa766d7763eec96C7fd0C8a5bC9936</t>
  </si>
  <si>
    <t>0xDa0E918F88F7cBf9009b2EC4b108999A0b6C11FC</t>
  </si>
  <si>
    <t>0xFD19608e2d07f06021A5cAA6E16c19E51880c0DE</t>
  </si>
  <si>
    <t>0x24Db82037845443d3dAbFF326e62e19bd599D7F8</t>
  </si>
  <si>
    <t>0xA11A28B223e877544bf6fC250539303Ec8a2a1d0</t>
  </si>
  <si>
    <t>0xE123d00b838CB9809a83Ffd123365BdEfCF0185D</t>
  </si>
  <si>
    <t>0x1D1B8F501F4F42b3b8d2570619a54127F5C3589a</t>
  </si>
  <si>
    <t>0x6a08b329b5818D2dc1Eac387f2dEC5848B2C6A5b</t>
  </si>
  <si>
    <t>0x39AAC1D057C3a6A4167AE85E48137Ea507478F9C</t>
  </si>
  <si>
    <t>0xfe51BE25Ccf892168231562Cd64c2Ff205324D57</t>
  </si>
  <si>
    <t>0x4a562e16570092770bA6374Fc340ba7ea5a87B11</t>
  </si>
  <si>
    <t>0x511Bfd74bfA0737789C9762789f0916930A84Dc9</t>
  </si>
  <si>
    <t>0xBa00d1079a181c0d39a1CBAfbbD05b9eb09e4542</t>
  </si>
  <si>
    <t>0x4f93972E3D3A358cE35Ded826Db5bF422edde184</t>
  </si>
  <si>
    <t>0x59679b774e9Fa41A4be61E5DBF7cDF7105F22AAD</t>
  </si>
  <si>
    <t>0x6190786CF5cfe559F716780A380f8885C2110B28</t>
  </si>
  <si>
    <t>0xD921A5453D528417010b01713DC58f8b8b9e513d</t>
  </si>
  <si>
    <t>0x6207B66ad22E840Df3184a54E7D6E457d01CBf58</t>
  </si>
  <si>
    <t>0x4E50523807ba2042A1056CD808874BE6E9Ae6BeF</t>
  </si>
  <si>
    <t>0x8EF56b46A310Ae84e700fF8A5DA588dC450cA229</t>
  </si>
  <si>
    <t>0x3d9873315bdFB3B10e9608A76C94ee79a46d5880</t>
  </si>
  <si>
    <t>0xbF505A42Ae19A454670B1330430baf83980964f7</t>
  </si>
  <si>
    <t>0xc74416c93a6e72e8c65e47321e5ae3E8781FE7EF</t>
  </si>
  <si>
    <t>0xd39E9cB2F9e5B2EB7Ed7EcAa96342F7b166554c7</t>
  </si>
  <si>
    <t>0x3eccfc4bf948781514BE6De3907E6BE39C0da23c</t>
  </si>
  <si>
    <t>0x13512C957572734ee351f979A63e5037E0f3739b</t>
  </si>
  <si>
    <t>0x8928eA65a3767f9f97fea99090A37053487774D9</t>
  </si>
  <si>
    <t>0xA4d2eFA95e420F7CbdFA3c040E4aeF453bf2450a</t>
  </si>
  <si>
    <t>0xA054619FD9169493fc7C8435F07E87De8a01fdFB</t>
  </si>
  <si>
    <t>0xd21bB3231FcB46720E20Fe97B195a130F26529Fe</t>
  </si>
  <si>
    <t>0x9ddF2469e62a233E2AaaB0cA2d7Ea47D44f1e843</t>
  </si>
  <si>
    <t>0x7e271C5f28f281e9539Dc110Bc34d8Ec3E4755a4</t>
  </si>
  <si>
    <t>0x7AA2f00c718F3E51c7B607fdA9455AB4F74b3740</t>
  </si>
  <si>
    <t>0x9bE6550c1ed5443Cb108922Df390a8582F9C6F89</t>
  </si>
  <si>
    <t>0x5097a2632887F14331a00a6780c005017B98f272</t>
  </si>
  <si>
    <t>0x2289442c082259bC20C6Fd902Da50C198B9cEDd6</t>
  </si>
  <si>
    <t>0x336387198B98A72bc0aA944EA4D6Ab112614E501</t>
  </si>
  <si>
    <t>0x5623c24732D89E37f9FBe350D4b9C894113186eA</t>
  </si>
  <si>
    <t>0xAaBBa6BDed0F1fFe02C23AE5388b2a0998f2D91a</t>
  </si>
  <si>
    <t>0xD06fF9C1BC4859e13FD96e7610A202D26247D711</t>
  </si>
  <si>
    <t>0x97B72C976C96207007D9d3Eac32bc64f0661E413</t>
  </si>
  <si>
    <t>0x2c1bb4241C024AB17b358fE141212c319fC6C470</t>
  </si>
  <si>
    <t>0x8133D7837Ce896EE33Eeb65BC3FE5364dd35B01E</t>
  </si>
  <si>
    <t>0x50233B59e151995A350F38a334f0F1b55cA90863</t>
  </si>
  <si>
    <t>0x20A59Ec482cF74E3C44708A130Dd35E92fb384ae</t>
  </si>
  <si>
    <t>0xb323CC964D995847Cd04e9483E18938E42D0f9EA</t>
  </si>
  <si>
    <t>0xAcF6De163b70d2169cb04a0d87EF1f04389b79F5</t>
  </si>
  <si>
    <t>0xf3F51be8BdF25677C4403f6aCC7D7FF7AC3a9455</t>
  </si>
  <si>
    <t>0x779096535611b006dCFE1E441768bCEC5ed7a0Ef</t>
  </si>
  <si>
    <t>0xBF7D8056E50E741E2a9A06A5DE150bBcA88B834b</t>
  </si>
  <si>
    <t>0xC2AF9deC197B05D0Add848275C70e6dbd4A0f6Fc</t>
  </si>
  <si>
    <t>0xf790bE665A7E83cBb1CcE9dc973aaC9c90BeFB98</t>
  </si>
  <si>
    <t>0x30703fF722E8E02de1e10FE22745287e46c33747</t>
  </si>
  <si>
    <t>0xD7ac4caE58a3ceBa754B52bF444Deb8C066a41Fb</t>
  </si>
  <si>
    <t>0xA953afBEAA092a0DDB6B478F9011485dC1695D9b</t>
  </si>
  <si>
    <t>0xaBb39F3D2019a7e8F971b1070adB17FF09408Eb5</t>
  </si>
  <si>
    <t>0xF94cD318252608165AB0859D17Db9F68fa789DEF</t>
  </si>
  <si>
    <t>0x24F61D6252F016B606c78703B6325cA496FaA33e</t>
  </si>
  <si>
    <t>0x63c7a63F1717367404Eab571BD82f1e4907852c5</t>
  </si>
  <si>
    <t>0x787b1d82F0F4Fa24AE6b704011e0bD5a3E9Cd7dF</t>
  </si>
  <si>
    <t>0x257e32521d6B7A0C34FB601b68c0DBB04f2776F5</t>
  </si>
  <si>
    <t>0xE41735A9564d21e79a88A73798043CF34Ff1b0C3</t>
  </si>
  <si>
    <t>0x142A3DE613D56424Fb5ca357d48190a815c078fE</t>
  </si>
  <si>
    <t>0xc99DA7f341Ff1528D0B49c05bFdc9502558C1be5</t>
  </si>
  <si>
    <t>0xDa83F53077b97e163133d47cDC04F37f62b01C7E</t>
  </si>
  <si>
    <t>0x5AB58299213B17989F06e086879D0F9a6FB6E06B</t>
  </si>
  <si>
    <t>0x0Fa63079581BdA688B3Ab770321dFF13123031a7</t>
  </si>
  <si>
    <t>0xA3f3dE87Cd61FF1EB9C5193B4cD72eef45Decce1</t>
  </si>
  <si>
    <t>0x610A87B165167482E1bD2604956Cb767EcEfefF6</t>
  </si>
  <si>
    <t>0xcBe10031Ef048e3746115e9924D05De0D77D29E0</t>
  </si>
  <si>
    <t>0xAF33e038bbDEDad6ed241be7E419cAf2f30183C2</t>
  </si>
  <si>
    <t>0xa5F3009F1018136Ff7D0cE87a3e741CF11688984</t>
  </si>
  <si>
    <t>0xda37e8fE213Ffda9980712d5eb3632cAbd92F0ca</t>
  </si>
  <si>
    <t>0x5DF69cfec7B0BA7d076718C471AC1E48802396e8</t>
  </si>
  <si>
    <t>0xE24E51606347bE2192DEc7F71a3F6F5Fda9F419b</t>
  </si>
  <si>
    <t>0x7978E206f6a998698769Ce20b5E76C5fe699582A</t>
  </si>
  <si>
    <t>0x8a094308b041798A23E73c0ee970D4d986C18C5F</t>
  </si>
  <si>
    <t>0x5f2f4377bdBbC25F1a5489d91AFFEa2FADf0aB3e</t>
  </si>
  <si>
    <t>0xFe9C947ce59d5e7E2365119d57C7a42BA08071d2</t>
  </si>
  <si>
    <t>0x2e22D716Fe815A7Aee136EC72132d7d352109efa</t>
  </si>
  <si>
    <t>0x66b2E51B3073Fc3506A5ec8009Bf785C8c222820</t>
  </si>
  <si>
    <t>0xf0486Be9F32E08FFa5d242322de91991405a196e</t>
  </si>
  <si>
    <t>0xA0AB83f32e66a990662593EfADC3b2F1Cf0633b2</t>
  </si>
  <si>
    <t>0xc0382f0e111fAf8126Aa8c938855b74140Be21E5</t>
  </si>
  <si>
    <t>0xC52e37Aa37de21B5B0456007084919f281b2A431</t>
  </si>
  <si>
    <t>0x946Ddb82E697925814A76321F5eE1962B79D8284</t>
  </si>
  <si>
    <t>0x169158a68756FDB10D2A774c9e3d3E2c781c6A70</t>
  </si>
  <si>
    <t>0x941f8B56ff46E10cF3147088C3Dd2eA6E6eBEEAE</t>
  </si>
  <si>
    <t>0x4dAa7293570E3A1246938Ad86CEB28c16227bFD6</t>
  </si>
  <si>
    <t>0x3Be232bd096c5c7729D0a5693c370CE46d55d784</t>
  </si>
  <si>
    <t>0x12fcf4DE6aDb9241acC36E3fa449cCcC9baB513B</t>
  </si>
  <si>
    <t>0x43366bB9fEd790A486597Ee7bc6b87443449549C</t>
  </si>
  <si>
    <t>0x9f54Ea900EA513782dF58414ed4fd6bE94Eff7be</t>
  </si>
  <si>
    <t>0x2E37E54a76Dc1c56B52B5e0F0DFA7D690f2492F6</t>
  </si>
  <si>
    <t>0x6E888d27ee2BFeb008A13c51527983b78B2f9366</t>
  </si>
  <si>
    <t>0xe8E44CAb760b983afd0d579a6F45Fa31bf46b628</t>
  </si>
  <si>
    <t>0xb8A9eEc16131933604fcab91050791320d0A44CA</t>
  </si>
  <si>
    <t>0xdE403D19E9eC159ca5845E19A4d1c7DaB1bcd5Eb</t>
  </si>
  <si>
    <t>0xCCa37cc1c4061fc04d7057B291D87729b02dC8EB</t>
  </si>
  <si>
    <t>0x1e741EE0f1cFf4b0660FBb5f0AB7861Be5685c2E</t>
  </si>
  <si>
    <t>0xa7e8e5D1a7440Bf83677a4BaE8066Fe53DC18846</t>
  </si>
  <si>
    <t>0xe8cD64BA93a286b1F4D0bCB24C2391F4707F9f8C</t>
  </si>
  <si>
    <t>0x7AC9b23a78CC06DcEAe946B2Bd1d4E32e8831d30</t>
  </si>
  <si>
    <t>0xf6b86d9EE7535E7Fc8c8B089cA4D9377e1Acea83</t>
  </si>
  <si>
    <t>0x45247dfc34f8782D9Ea29B2d373f96081Bb0E9f6</t>
  </si>
  <si>
    <t>0xE3B6F86c60CFFcb37a4889A7E1b3F88E129f395A</t>
  </si>
  <si>
    <t>0x8527528cA985b7401cAE7443e31d85EDB0246e6d</t>
  </si>
  <si>
    <t>0x5960F44F4f58b3A63C4974bCed7bFd18CB46E5eD</t>
  </si>
  <si>
    <t>0x4cFa3653DAbECBb81aFDa173e4A6Be4Ae795dae8</t>
  </si>
  <si>
    <t>0x15Bd5ED4A5e1bea8683Dd4592D00b32400cBEa9c</t>
  </si>
  <si>
    <t>0x540d130692D74530D5fCE9cBddAc61b8EE0Ac6CE</t>
  </si>
  <si>
    <t>0x863A89146d18bF193f8DccA0169fBb31B0bf1deA</t>
  </si>
  <si>
    <t>0x49740E1aAc491C44BdB0E04007B0D3A24Fb73a47</t>
  </si>
  <si>
    <t>0xFCe4e08e0AD562d04dcFeA385e0A5f580A8aDc35</t>
  </si>
  <si>
    <t>0x7b73018d7BA9Daae310aec5151cB190847bba581</t>
  </si>
  <si>
    <t>0xAa25d7ffcb87239348f7410470d028945181E9Cf</t>
  </si>
  <si>
    <t>0x1279e0766854cE87DA2c74A18d4F5399e430A080</t>
  </si>
  <si>
    <t>0x68E0cd5f012c92a2F4723bCc37d191D2D9fA7bcC</t>
  </si>
  <si>
    <t>0x72A18631e3F31ebAa4cd5af8beeB5b6f730FEB0c</t>
  </si>
  <si>
    <t>0xcABeF1129Ea7ae18Da9BD6e8d638E937b5B97FFe</t>
  </si>
  <si>
    <t>0xD17955797Ba75aed63e39e69882FBb300d002cCD</t>
  </si>
  <si>
    <t>0x3D6b33020d071c008bf52Dc4333d81EA84a374cD</t>
  </si>
  <si>
    <t>0x49f0dfe61e4807d4c8C04436e5Fb118583b8ADE6</t>
  </si>
  <si>
    <t>0x96ca56970B6967Fd808F30a2Df788De5E1F85395</t>
  </si>
  <si>
    <t>0x362cD9975199E2dAD2C70706925CD324B2C5Cf5E</t>
  </si>
  <si>
    <t>0x56FAf615603fb9D01980c895CD9004b818D7dDae</t>
  </si>
  <si>
    <t>0x70B349EBD37071BE039dE5A70459FB6417E7e1Cb</t>
  </si>
  <si>
    <t>0xb6EDF9A9866720FC42E71b015405B1AEdE0Aa3bC</t>
  </si>
  <si>
    <t>0x2Bc66199886B4F8B43504328D1527d2A7F4b0240</t>
  </si>
  <si>
    <t>0x452320cd25dd86b855B6703a633e1c4DBC4267A0</t>
  </si>
  <si>
    <t>0xF66A57f70073Dae6602a7e54fDB7064AB555943A</t>
  </si>
  <si>
    <t>0xDCFC45019a35D550bEE67c81BFF7FC83FECeE653</t>
  </si>
  <si>
    <t>0xAb0e69f14C7B11838F060EB9DA1baE520CA09fC9</t>
  </si>
  <si>
    <t>0xE0624dD55dd0d6E78E7135462949e15Bd07D5Ffb</t>
  </si>
  <si>
    <t>0x7Fe439f1CFF1007609d56744AbC2652e5870b16e</t>
  </si>
  <si>
    <t>0x19F1499E23045F36ADA7f92a964554e3BEa54Ec6</t>
  </si>
  <si>
    <t>0x7515EE61A1D09431E33b4c676260a6646749b257</t>
  </si>
  <si>
    <t>0xbe133cdF92f4F564cE16267FB8d43Cf27dEB9665</t>
  </si>
  <si>
    <t>0xC3f0e717D7011BC1a55ADc078e74712f7356dA09</t>
  </si>
  <si>
    <t>0xDaFa38DA46F2C7E9f40eBef05f9d75E77F5bbf64</t>
  </si>
  <si>
    <t>0xc6816d0fedC8e07D474A30bDbc448D8473899924</t>
  </si>
  <si>
    <t>0x2306713fB7819F8e27C09d6a5e9a79df56F83F31</t>
  </si>
  <si>
    <t>0x891517020abE863731667662560dada5A48747Ad</t>
  </si>
  <si>
    <t>0xc3B27eF828D8aDbd282Bc7F3902C3B114b7ead5C</t>
  </si>
  <si>
    <t>0x7d1AC8Bb5391eaBc0174bEEAA89475C8E1901B25</t>
  </si>
  <si>
    <t>0x7C285f5ad4D0BECF238420D918f15D161247EE61</t>
  </si>
  <si>
    <t>0xacdB2D768ec67c05D196F12A5C5bF6E0522C5Ef6</t>
  </si>
  <si>
    <t>0x6f77d9938A560192Df4dBDAB82437b326BB219b3</t>
  </si>
  <si>
    <t>0xd5745707f32Fb7566CA22b7FDa94C7c82f58C5bE</t>
  </si>
  <si>
    <t>0xf480Cc7ffC4cc501e14F99FFf0D468E3E6d39980</t>
  </si>
  <si>
    <t>0x8974dA43C3CCdeE194Ce12f45CB0390E63848cD3</t>
  </si>
  <si>
    <t>0x641F421980106aE87e1d76f837DbBcbF9d9260f4</t>
  </si>
  <si>
    <t>0x2d7299f1A39CE078552AECBaF20b72E8c86c49B2</t>
  </si>
  <si>
    <t>0x6224c76D7BB081D26372594072e2a0298c901068</t>
  </si>
  <si>
    <t>0x1845d3186Bd8b5836fE6f93c24B1Ac10aed379f6</t>
  </si>
  <si>
    <t>0xC01f7577BB4db51cD30045d3681877b015a2058c</t>
  </si>
  <si>
    <t>0x0E5fC31E5c6a075eFCB2928fC394E4621f5015FB</t>
  </si>
  <si>
    <t>0xF13D0954D98F50A8A909cba464D57CA4f914fCf9</t>
  </si>
  <si>
    <t>0x9C54504a257E53Ce68d6abDA2aBcBf4B0400f288</t>
  </si>
  <si>
    <t>0x009193244f04d2bf8339a7b407377E48c8CD562e</t>
  </si>
  <si>
    <t>0xE6eF224C23A57AEfb7b7e3b278a6C112Dc34Eab1</t>
  </si>
  <si>
    <t>0x9dd2BD1f46C9410cb924D64E68f21CBfdDf8f788</t>
  </si>
  <si>
    <t>0x6Ba9286b389C1D5aBf084b8d4Ed52b2710e9C75d</t>
  </si>
  <si>
    <t>0x571A42248b047f53563004aAbD55Fb59f407C9a0</t>
  </si>
  <si>
    <t>0x8F07C359243A998Ce0f8Ad8CC4E231dEF0fE528b</t>
  </si>
  <si>
    <t>0x02B0A3B188A639e089a0730cEB93cc03c27B54E8</t>
  </si>
  <si>
    <t>0xF2019Ef213Af613c07Ace6e45C92FE1440Eee505</t>
  </si>
  <si>
    <t>0x5fF138FaB5863DE976a049FA833ccdcf7DF5552d</t>
  </si>
  <si>
    <t>0x35aE2C05cA8Bb861CCDD6C592e8a85Ae13A62345</t>
  </si>
  <si>
    <t>0xac3749D8865E2a83AB6963Ac69E9d0D0D49aF1Ee</t>
  </si>
  <si>
    <t>0x16711756a3B5EB24B63B30f16BaeC676792a6AB9</t>
  </si>
  <si>
    <t>0x1f7bD2859647bb6AeDC388Cb9fb1d04c92Bb6f94</t>
  </si>
  <si>
    <t>0x2dA40A8EE2B5348A1250e7E8B6Dac626b2E1d7bd</t>
  </si>
  <si>
    <t>0x361c271738995441A98a65381703f4399F87E286</t>
  </si>
  <si>
    <t>0x9Bd47526A8dc994692375ebaa468360415f582b7</t>
  </si>
  <si>
    <t>0x4bCF56C9076D464EA930ED96c4fA889118727635</t>
  </si>
  <si>
    <t>0xa45190Db4b8D8cF19673941b4cF3A4DcFdfd2419</t>
  </si>
  <si>
    <t>0x151C24fF884430C3a1b483372CFB0dEA299B0194</t>
  </si>
  <si>
    <t>0x3E766F0f641F29687ABF4Fa27377f27c776C84b0</t>
  </si>
  <si>
    <t>0x81BbCFA08eb790d1aC4aBf3D3b2451FeeC73F2f5</t>
  </si>
  <si>
    <t>0x51fA319775f49321F3DbC10cd590Eeca5ede3FF3</t>
  </si>
  <si>
    <t>0x0587C72D7133c723f0863e0C3CFB03FDE73B3FD6</t>
  </si>
  <si>
    <t>0x141FbBBeac2615E1a70900B713162Bf32eAEb131</t>
  </si>
  <si>
    <t>0x0b4DEe7410FF6E786B73031fb5B111714D0f6d76</t>
  </si>
  <si>
    <t>0xf1d871665982F1D983FC21B25845e383283Dd2D4</t>
  </si>
  <si>
    <t>0x83A72FD2cefB693E8E7C8cd575CE5148A7Bf84BD</t>
  </si>
  <si>
    <t>0x6A13b2e2f48734644019597f188CB265DAC5b752</t>
  </si>
  <si>
    <t>0x611341e4c58488c805c1738AF5C6385e26226FC5</t>
  </si>
  <si>
    <t>0x9585b3b4208181f7e531AC51D6F32F9e62e3a402</t>
  </si>
  <si>
    <t>0x10E43AC1df407E20ecd832D5A27c82Ba63D3d37D</t>
  </si>
  <si>
    <t>0x90d519745BEf711897f93e59053207ef87019Ac6</t>
  </si>
  <si>
    <t>0x471c0fB9b6eA1d938f25bdF418c9609DD6e71cEa</t>
  </si>
  <si>
    <t>0x11F892e5A98d1c4e6976982D0723e9929074dB8F</t>
  </si>
  <si>
    <t>0x72ea6d6718E5d8583d4EbA700d708f991Ad1E906</t>
  </si>
  <si>
    <t>0x4ffaCBBE822B34f3d58cf7bC350f8a1f4f0ACd9e</t>
  </si>
  <si>
    <t>0xA12ED0fC933C34260bE2AF308651cabeEBC86224</t>
  </si>
  <si>
    <t>0xC6cEbAB6332e6eE09Af83BB1e456f47578B843BA</t>
  </si>
  <si>
    <t>0xb9E163D2127F994f51ADC81Ca7D70c71dC8920d9</t>
  </si>
  <si>
    <t>0xC07098a6321AF109c7f0b7C7395A7B74acC35D23</t>
  </si>
  <si>
    <t>0xecF894B25172f29BA41E7DAF75295c0f3c724010</t>
  </si>
  <si>
    <t>0x996f6564e3BE2b04C78A86E1cb08A9c0E04A6E51</t>
  </si>
  <si>
    <t>0x9AEe06F33724604cD05516693e584CC9ca290060</t>
  </si>
  <si>
    <t>0x699cBCbFcE65186190B4EBD5c4476E3C8D8dF1f5</t>
  </si>
  <si>
    <t>0x81B09B537Db4640256a6190563f51ba5a3B966FA</t>
  </si>
  <si>
    <t>0xAa4323E89502E36B80679a2f54e1Df230c5baF19</t>
  </si>
  <si>
    <t>0x4745094E304215e12996d4fE4c76dc9C208203b6</t>
  </si>
  <si>
    <t>0xFf9b0533442FB83BD32aFA3054D9F21d5e37060B</t>
  </si>
  <si>
    <t>0xA82FD91944E24C195624D133898F72EC2a343DE4</t>
  </si>
  <si>
    <t>0x65D2629d9d829b7dDb24f25eb842147FbE95eB5A</t>
  </si>
  <si>
    <t>92450283,21</t>
  </si>
  <si>
    <t>Địa chỉ ví</t>
  </si>
  <si>
    <t>Bắt đầu</t>
  </si>
  <si>
    <t>Kết thúc</t>
  </si>
  <si>
    <t>Tổng MTD</t>
  </si>
  <si>
    <t>Mẫu</t>
  </si>
  <si>
    <t>18/03/2024 10:04:23</t>
  </si>
  <si>
    <t>13/03/2025 10:04:23</t>
  </si>
  <si>
    <t>8.778.325,00</t>
  </si>
  <si>
    <t>18/03/2024 10:04:48</t>
  </si>
  <si>
    <t>13/03/2025 10:04:48</t>
  </si>
  <si>
    <t>8.778.311,98</t>
  </si>
  <si>
    <t>18/03/2024 10:05:06</t>
  </si>
  <si>
    <t>13/03/2025 10:05:06</t>
  </si>
  <si>
    <t>8.778.302,60</t>
  </si>
  <si>
    <t>18/03/2024 10:05:26</t>
  </si>
  <si>
    <t>13/03/2025 10:05:26</t>
  </si>
  <si>
    <t>8.778.292,19</t>
  </si>
  <si>
    <t>29/04/2024 11:27:33</t>
  </si>
  <si>
    <t>19/04/2026 11:27:33</t>
  </si>
  <si>
    <t>6.468.359,37</t>
  </si>
  <si>
    <t>31/03/2025 11:39:36</t>
  </si>
  <si>
    <t>5.974.012,11</t>
  </si>
  <si>
    <t>4.895.751,55</t>
  </si>
  <si>
    <t>21/12/2023 20:57:12</t>
  </si>
  <si>
    <t>15/12/2024 20:57:12</t>
  </si>
  <si>
    <t>3.179.481,12</t>
  </si>
  <si>
    <t>21/12/2023 21:18:04</t>
  </si>
  <si>
    <t>15/12/2024 21:18:04</t>
  </si>
  <si>
    <t>3.179.318,10</t>
  </si>
  <si>
    <t>22/12/2023 8:15:11</t>
  </si>
  <si>
    <t>16/12/2024 8:15:11</t>
  </si>
  <si>
    <t>3.174.184,38</t>
  </si>
  <si>
    <t>28/12/2023 10:26:00</t>
  </si>
  <si>
    <t>22/12/2024 10:26:00</t>
  </si>
  <si>
    <t>3.105.662,37</t>
  </si>
  <si>
    <t>15/12/2023 22:25:35</t>
  </si>
  <si>
    <t>2.597.032,50</t>
  </si>
  <si>
    <t>20/03/2024 10:17:00</t>
  </si>
  <si>
    <t>15/03/2025 10:17:00</t>
  </si>
  <si>
    <t>2.171.982,68</t>
  </si>
  <si>
    <t>28/03/2024 12:51:15</t>
  </si>
  <si>
    <t>23/03/2025 12:51:15</t>
  </si>
  <si>
    <t>1.664.622,08</t>
  </si>
  <si>
    <t>22/10/2023 0:02:31</t>
  </si>
  <si>
    <t>18/07/2024 0:02:31</t>
  </si>
  <si>
    <t>1.316.327,88</t>
  </si>
  <si>
    <t>1.265.986,28</t>
  </si>
  <si>
    <t>30/11/2024 19:35:51</t>
  </si>
  <si>
    <t>799.546,67</t>
  </si>
  <si>
    <t>30/11/2024 19:53:03</t>
  </si>
  <si>
    <t>799.492,92</t>
  </si>
  <si>
    <t>30/11/2024 20:00:42</t>
  </si>
  <si>
    <t>799.469,01</t>
  </si>
  <si>
    <t>13/06/2024 10:37:37</t>
  </si>
  <si>
    <t>551.223,89</t>
  </si>
  <si>
    <t>30/10/2023 21:12:26</t>
  </si>
  <si>
    <t>27/04/2024 21:12:26</t>
  </si>
  <si>
    <t>509.841,11</t>
  </si>
  <si>
    <t>27/12/2023 23:15:15</t>
  </si>
  <si>
    <t>24/06/2024 23:15:15</t>
  </si>
  <si>
    <t>507.255,81</t>
  </si>
  <si>
    <t>26/12/2023 19:51:30</t>
  </si>
  <si>
    <t>23/06/2024 19:51:30</t>
  </si>
  <si>
    <t>424.425,42</t>
  </si>
  <si>
    <t>31/12/2023 22:17:34</t>
  </si>
  <si>
    <t>28/06/2024 22:17:34</t>
  </si>
  <si>
    <t>416.773,26</t>
  </si>
  <si>
    <t>30/06/2024 23:31:47</t>
  </si>
  <si>
    <t>413.695,95</t>
  </si>
  <si>
    <t>28/04/2024 11:57:14</t>
  </si>
  <si>
    <t>23/04/2025 11:57:14</t>
  </si>
  <si>
    <t>377.570,48</t>
  </si>
  <si>
    <t>28/04/2024 19:32:31</t>
  </si>
  <si>
    <t>23/04/2025 19:32:31</t>
  </si>
  <si>
    <t>377.333,35</t>
  </si>
  <si>
    <t>30/04/2024 9:11:20</t>
  </si>
  <si>
    <t>25/04/2025 9:11:20</t>
  </si>
  <si>
    <t>376.156,88</t>
  </si>
  <si>
    <t>15/11/2023 8:01:07</t>
  </si>
  <si>
    <t>13/04/2024 8:01:07</t>
  </si>
  <si>
    <t>353.332,32</t>
  </si>
  <si>
    <t>29/02/2024 23:33:03</t>
  </si>
  <si>
    <t>27/08/2024 23:33:03</t>
  </si>
  <si>
    <t>326.694,64</t>
  </si>
  <si>
    <t>15/07/2024 3:46:50</t>
  </si>
  <si>
    <t>319.325,89</t>
  </si>
  <si>
    <t>21/10/2023 18:27:04</t>
  </si>
  <si>
    <t>19/03/2024 18:27:04</t>
  </si>
  <si>
    <t>270.000,00</t>
  </si>
  <si>
    <t>17/11/2023 16:32:02</t>
  </si>
  <si>
    <t>15/04/2024 16:32:02</t>
  </si>
  <si>
    <t>262.879,92</t>
  </si>
  <si>
    <t>251.147,63</t>
  </si>
  <si>
    <t>29/04/2024 17:46:56</t>
  </si>
  <si>
    <t>250.233,10</t>
  </si>
  <si>
    <t>244.905,79</t>
  </si>
  <si>
    <t>243.006,53</t>
  </si>
  <si>
    <t>241.371,82</t>
  </si>
  <si>
    <t>241.323,43</t>
  </si>
  <si>
    <t>21/12/2023 19:09:34</t>
  </si>
  <si>
    <t>19/05/2024 19:09:34</t>
  </si>
  <si>
    <t>232.181,46</t>
  </si>
  <si>
    <t>19/05/2024 8:48:01</t>
  </si>
  <si>
    <t>15/11/2024 8:48:01</t>
  </si>
  <si>
    <t>226.919,03</t>
  </si>
  <si>
    <t>31/12/2023 18:09:58</t>
  </si>
  <si>
    <t>29/05/2024 18:09:58</t>
  </si>
  <si>
    <t>223.218,71</t>
  </si>
  <si>
    <t>31/12/2023 22:40:18</t>
  </si>
  <si>
    <t>29/05/2024 22:40:18</t>
  </si>
  <si>
    <t>223.049,75</t>
  </si>
  <si>
    <t>136.910,08</t>
  </si>
  <si>
    <t>21/04/2024 17:21:23</t>
  </si>
  <si>
    <t>18/09/2024 17:21:23</t>
  </si>
  <si>
    <t>135.000,00</t>
  </si>
  <si>
    <t>21/04/2024 21:13:38</t>
  </si>
  <si>
    <t>16/04/2025 21:13:38</t>
  </si>
  <si>
    <t>76.506,14</t>
  </si>
  <si>
    <t>21/04/2024 21:29:25</t>
  </si>
  <si>
    <t>16/04/2025 21:29:25</t>
  </si>
  <si>
    <t>76.504,49</t>
  </si>
  <si>
    <t>21/04/2024 21:37:28</t>
  </si>
  <si>
    <t>16/04/2025 21:37:28</t>
  </si>
  <si>
    <t>76.503,65</t>
  </si>
  <si>
    <t>21/04/2024 22:41:10</t>
  </si>
  <si>
    <t>16/04/2025 22:41:10</t>
  </si>
  <si>
    <t>76.497,02</t>
  </si>
  <si>
    <t>23/04/2024 21:48:37</t>
  </si>
  <si>
    <t>18/04/2025 21:48:37</t>
  </si>
  <si>
    <t>76.202,49</t>
  </si>
  <si>
    <t>24/04/2024 15:53:21</t>
  </si>
  <si>
    <t>19/04/2025 15:53:21</t>
  </si>
  <si>
    <t>76.089,50</t>
  </si>
  <si>
    <t>25/04/2024 10:21:10</t>
  </si>
  <si>
    <t>20/04/2025 10:21:10</t>
  </si>
  <si>
    <t>75.974,10</t>
  </si>
  <si>
    <t>25/04/2024 10:48:44</t>
  </si>
  <si>
    <t>20/04/2025 10:48:44</t>
  </si>
  <si>
    <t>75.971,23</t>
  </si>
  <si>
    <t>25/04/2024 11:33:56</t>
  </si>
  <si>
    <t>20/04/2025 11:33:56</t>
  </si>
  <si>
    <t>75.966,52</t>
  </si>
  <si>
    <t>25/04/2024 11:35:56</t>
  </si>
  <si>
    <t>20/04/2025 11:35:56</t>
  </si>
  <si>
    <t>75.966,31</t>
  </si>
  <si>
    <t>25/04/2024 12:06:24</t>
  </si>
  <si>
    <t>20/04/2025 12:06:24</t>
  </si>
  <si>
    <t>75.963,14</t>
  </si>
  <si>
    <t>25/04/2024 12:45:00</t>
  </si>
  <si>
    <t>20/04/2025 12:45:00</t>
  </si>
  <si>
    <t>75.959,12</t>
  </si>
  <si>
    <t>25/04/2024 12:59:27</t>
  </si>
  <si>
    <t>20/04/2025 12:59:27</t>
  </si>
  <si>
    <t>75.957,61</t>
  </si>
  <si>
    <t>25/04/2024 13:35:03</t>
  </si>
  <si>
    <t>20/04/2025 13:35:03</t>
  </si>
  <si>
    <t>75.953,91</t>
  </si>
  <si>
    <t>25/04/2024 14:08:26</t>
  </si>
  <si>
    <t>20/04/2025 14:08:26</t>
  </si>
  <si>
    <t>75.950,43</t>
  </si>
  <si>
    <t>25/04/2024 16:07:12</t>
  </si>
  <si>
    <t>20/04/2025 16:07:12</t>
  </si>
  <si>
    <t>75.938,06</t>
  </si>
  <si>
    <t>25/04/2024 20:21:56</t>
  </si>
  <si>
    <t>20/04/2025 20:21:56</t>
  </si>
  <si>
    <t>75.911,52</t>
  </si>
  <si>
    <t>25/04/2024 21:26:57</t>
  </si>
  <si>
    <t>20/04/2025 21:26:57</t>
  </si>
  <si>
    <t>75.904,75</t>
  </si>
  <si>
    <t>25/04/2024 23:20:58</t>
  </si>
  <si>
    <t>20/04/2025 23:20:58</t>
  </si>
  <si>
    <t>75.892,87</t>
  </si>
  <si>
    <t>25/04/2024 23:39:09</t>
  </si>
  <si>
    <t>20/04/2025 23:39:09</t>
  </si>
  <si>
    <t>75.890,98</t>
  </si>
  <si>
    <t>26/04/2024 9:27:17</t>
  </si>
  <si>
    <t>21/04/2025 9:27:17</t>
  </si>
  <si>
    <t>75.829,72</t>
  </si>
  <si>
    <t>26/04/2024 16:50:40</t>
  </si>
  <si>
    <t>21/04/2025 16:50:40</t>
  </si>
  <si>
    <t>75.783,53</t>
  </si>
  <si>
    <t>27/04/2024 10:35:50</t>
  </si>
  <si>
    <t>22/04/2025 10:35:50</t>
  </si>
  <si>
    <t>75.672,57</t>
  </si>
  <si>
    <t>27/04/2024 19:32:58</t>
  </si>
  <si>
    <t>22/04/2025 19:32:58</t>
  </si>
  <si>
    <t>75.616,62</t>
  </si>
  <si>
    <t>30/04/2024 9:09:51</t>
  </si>
  <si>
    <t>25/04/2025 9:09:51</t>
  </si>
  <si>
    <t>75.231,53</t>
  </si>
  <si>
    <t>30/04/2024 22:55:12</t>
  </si>
  <si>
    <t>25/04/2025 22:55:12</t>
  </si>
  <si>
    <t>75.145,56</t>
  </si>
  <si>
    <t>15/05/2024 4:32:39</t>
  </si>
  <si>
    <t>73.010,41</t>
  </si>
  <si>
    <t>72.000,00</t>
  </si>
  <si>
    <t>22/10/2023 16:06:03</t>
  </si>
  <si>
    <t>19/02/2024 16:06:03</t>
  </si>
  <si>
    <t>21/10/2023 23:07:09</t>
  </si>
  <si>
    <t>18/02/2024 23:07:09</t>
  </si>
  <si>
    <t>21/12/2023 13:35:10</t>
  </si>
  <si>
    <t>19/04/2024 13:35:10</t>
  </si>
  <si>
    <t>68.463,49</t>
  </si>
  <si>
    <t>21/12/2023 13:37:21</t>
  </si>
  <si>
    <t>19/04/2024 13:37:21</t>
  </si>
  <si>
    <t>68.463,03</t>
  </si>
  <si>
    <t>28/12/2023 16:32:14</t>
  </si>
  <si>
    <t>26/04/2024 16:32:14</t>
  </si>
  <si>
    <t>66.392,92</t>
  </si>
  <si>
    <t>29/12/2023 18:01:31</t>
  </si>
  <si>
    <t>27/04/2024 18:01:31</t>
  </si>
  <si>
    <t>66.008,00</t>
  </si>
  <si>
    <t>28/04/2024 10:10:37</t>
  </si>
  <si>
    <t>24/12/2024 10:10:37</t>
  </si>
  <si>
    <t>57.525,20</t>
  </si>
  <si>
    <t>28/04/2024 10:11:16</t>
  </si>
  <si>
    <t>24/12/2024 10:11:16</t>
  </si>
  <si>
    <t>57.525,13</t>
  </si>
  <si>
    <t>28/04/2024 10:34:05</t>
  </si>
  <si>
    <t>24/12/2024 10:34:05</t>
  </si>
  <si>
    <t>57.522,76</t>
  </si>
  <si>
    <t>28/04/2024 10:50:04</t>
  </si>
  <si>
    <t>24/12/2024 10:50:04</t>
  </si>
  <si>
    <t>57.521,09</t>
  </si>
  <si>
    <t>28/04/2024 11:12:13</t>
  </si>
  <si>
    <t>24/12/2024 11:12:13</t>
  </si>
  <si>
    <t>57.518,78</t>
  </si>
  <si>
    <t>28/04/2024 11:46:56</t>
  </si>
  <si>
    <t>24/12/2024 11:46:56</t>
  </si>
  <si>
    <t>57.515,17</t>
  </si>
  <si>
    <t>28/04/2024 12:27:16</t>
  </si>
  <si>
    <t>24/12/2024 12:27:16</t>
  </si>
  <si>
    <t>57.510,97</t>
  </si>
  <si>
    <t>28/04/2024 13:48:53</t>
  </si>
  <si>
    <t>24/12/2024 13:48:53</t>
  </si>
  <si>
    <t>57.502,47</t>
  </si>
  <si>
    <t>28/04/2024 14:23:10</t>
  </si>
  <si>
    <t>24/12/2024 14:23:10</t>
  </si>
  <si>
    <t>57.498,89</t>
  </si>
  <si>
    <t>28/04/2024 14:53:05</t>
  </si>
  <si>
    <t>24/12/2024 14:53:05</t>
  </si>
  <si>
    <t>57.495,78</t>
  </si>
  <si>
    <t>28/04/2024 15:41:38</t>
  </si>
  <si>
    <t>24/12/2024 15:41:38</t>
  </si>
  <si>
    <t>57.490,72</t>
  </si>
  <si>
    <t>28/04/2024 15:50:15</t>
  </si>
  <si>
    <t>24/12/2024 15:50:15</t>
  </si>
  <si>
    <t>57.489,82</t>
  </si>
  <si>
    <t>28/04/2024 15:52:18</t>
  </si>
  <si>
    <t>24/12/2024 15:52:18</t>
  </si>
  <si>
    <t>57.489,61</t>
  </si>
  <si>
    <t>28/04/2024 16:55:42</t>
  </si>
  <si>
    <t>24/12/2024 16:55:42</t>
  </si>
  <si>
    <t>57.483,01</t>
  </si>
  <si>
    <t>28/04/2024 17:11:25</t>
  </si>
  <si>
    <t>24/12/2024 17:11:25</t>
  </si>
  <si>
    <t>57.481,37</t>
  </si>
  <si>
    <t>28/04/2024 17:29:31</t>
  </si>
  <si>
    <t>24/12/2024 17:29:31</t>
  </si>
  <si>
    <t>57.479,48</t>
  </si>
  <si>
    <t>28/04/2024 19:19:51</t>
  </si>
  <si>
    <t>24/12/2024 19:19:51</t>
  </si>
  <si>
    <t>57.467,99</t>
  </si>
  <si>
    <t>28/04/2024 19:50:29</t>
  </si>
  <si>
    <t>24/12/2024 19:50:29</t>
  </si>
  <si>
    <t>57.464,80</t>
  </si>
  <si>
    <t>28/04/2024 20:14:22</t>
  </si>
  <si>
    <t>24/12/2024 20:14:22</t>
  </si>
  <si>
    <t>57.462,31</t>
  </si>
  <si>
    <t>28/04/2024 20:19:45</t>
  </si>
  <si>
    <t>24/12/2024 20:19:45</t>
  </si>
  <si>
    <t>57.461,75</t>
  </si>
  <si>
    <t>28/04/2024 21:07:18</t>
  </si>
  <si>
    <t>24/12/2024 21:07:18</t>
  </si>
  <si>
    <t>57.456,80</t>
  </si>
  <si>
    <t>28/04/2024 21:10:02</t>
  </si>
  <si>
    <t>24/12/2024 21:10:02</t>
  </si>
  <si>
    <t>57.456,51</t>
  </si>
  <si>
    <t>28/04/2024 21:42:40</t>
  </si>
  <si>
    <t>24/12/2024 21:42:40</t>
  </si>
  <si>
    <t>57.453,11</t>
  </si>
  <si>
    <t>28/04/2024 21:53:54</t>
  </si>
  <si>
    <t>24/12/2024 21:53:54</t>
  </si>
  <si>
    <t>57.451,94</t>
  </si>
  <si>
    <t>28/04/2024 22:44:56</t>
  </si>
  <si>
    <t>24/12/2024 22:44:56</t>
  </si>
  <si>
    <t>57.446,63</t>
  </si>
  <si>
    <t>29/04/2024 9:48:05</t>
  </si>
  <si>
    <t>25/12/2024 9:48:05</t>
  </si>
  <si>
    <t>57.377,55</t>
  </si>
  <si>
    <t>30/04/2024 16:56:13</t>
  </si>
  <si>
    <t>26/12/2024 16:56:13</t>
  </si>
  <si>
    <t>57.182,95</t>
  </si>
  <si>
    <t>13/05/2024 2:47:33</t>
  </si>
  <si>
    <t>55.321,35</t>
  </si>
  <si>
    <t>13/05/2024 2:49:27</t>
  </si>
  <si>
    <t>55.321,16</t>
  </si>
  <si>
    <t>17/05/2024 16:14:01</t>
  </si>
  <si>
    <t>54.637,35</t>
  </si>
  <si>
    <t>30/05/2024 16:17:12</t>
  </si>
  <si>
    <t>25/01/2025 16:17:12</t>
  </si>
  <si>
    <t>52.687,02</t>
  </si>
  <si>
    <t>47.477,47</t>
  </si>
  <si>
    <t>47.381,30</t>
  </si>
  <si>
    <t>47.378,43</t>
  </si>
  <si>
    <t>47.367,86</t>
  </si>
  <si>
    <t>47.309,60</t>
  </si>
  <si>
    <t>47.297,46</t>
  </si>
  <si>
    <t>29/06/2024 13:06:41</t>
  </si>
  <si>
    <t>47.169,42</t>
  </si>
  <si>
    <t>47.002,43</t>
  </si>
  <si>
    <t>46.847,97</t>
  </si>
  <si>
    <t>46.800,26</t>
  </si>
  <si>
    <t>46.687,76</t>
  </si>
  <si>
    <t>46.666,98</t>
  </si>
  <si>
    <t>46.636,53</t>
  </si>
  <si>
    <t>46.403,22</t>
  </si>
  <si>
    <t>46.250,71</t>
  </si>
  <si>
    <t>15/07/2024 3:17:33</t>
  </si>
  <si>
    <t>45.868,23</t>
  </si>
  <si>
    <t>15/07/2024 7:31:34</t>
  </si>
  <si>
    <t>45.841,77</t>
  </si>
  <si>
    <t>14/03/2024 18:05:53</t>
  </si>
  <si>
    <t>43.207,09</t>
  </si>
  <si>
    <t>41.932,92</t>
  </si>
  <si>
    <t>20/03/2024 6:35:49</t>
  </si>
  <si>
    <t>18/07/2024 6:35:49</t>
  </si>
  <si>
    <t>41.550,85</t>
  </si>
  <si>
    <t>21/03/2024 4:01:37</t>
  </si>
  <si>
    <t>19/07/2024 4:01:37</t>
  </si>
  <si>
    <t>41.282,98</t>
  </si>
  <si>
    <t>15/08/2024 13:49:13</t>
  </si>
  <si>
    <t>41.152,43</t>
  </si>
  <si>
    <t>26/03/2024 17:33:28</t>
  </si>
  <si>
    <t>24/07/2024 17:33:28</t>
  </si>
  <si>
    <t>39.613,84</t>
  </si>
  <si>
    <t>28/03/2024 22:24:17</t>
  </si>
  <si>
    <t>26/07/2024 22:24:17</t>
  </si>
  <si>
    <t>38.953,25</t>
  </si>
  <si>
    <t>29/03/2024 9:44:17</t>
  </si>
  <si>
    <t>27/07/2024 9:44:17</t>
  </si>
  <si>
    <t>38.811,59</t>
  </si>
  <si>
    <t>30/07/2024 1:21:29</t>
  </si>
  <si>
    <t>38.016,34</t>
  </si>
  <si>
    <t>31/07/2024 18:18:23</t>
  </si>
  <si>
    <t>37.504,48</t>
  </si>
  <si>
    <t>36.933,93</t>
  </si>
  <si>
    <t>36.873,57</t>
  </si>
  <si>
    <t>36.614,10</t>
  </si>
  <si>
    <t>36.415,30</t>
  </si>
  <si>
    <t>21/05/2024 7:01:59</t>
  </si>
  <si>
    <t>18/09/2024 7:01:59</t>
  </si>
  <si>
    <t>36.000,00</t>
  </si>
  <si>
    <t>18/05/2024 13:26:13</t>
  </si>
  <si>
    <t>15/09/2024 13:26:13</t>
  </si>
  <si>
    <t>18/05/2024 13:22:20</t>
  </si>
  <si>
    <t>15/09/2024 13:22:20</t>
  </si>
  <si>
    <t>18/05/2024 13:20:13</t>
  </si>
  <si>
    <t>15/09/2024 13:20:13</t>
  </si>
  <si>
    <t>13/05/2024 2:45:40</t>
  </si>
  <si>
    <t>13/05/2024 2:43:50</t>
  </si>
  <si>
    <t>13/05/2024 2:35:14</t>
  </si>
  <si>
    <t>30/08/2024 8:36:39</t>
  </si>
  <si>
    <t>30/04/2024 23:37:32</t>
  </si>
  <si>
    <t>28/08/2024 23:37:32</t>
  </si>
  <si>
    <t>20/04/2024 18:51:06</t>
  </si>
  <si>
    <t>18/08/2024 18:51:06</t>
  </si>
  <si>
    <t>20/04/2024 14:15:52</t>
  </si>
  <si>
    <t>18/08/2024 14:15:52</t>
  </si>
  <si>
    <t>20/04/2024 13:10:54</t>
  </si>
  <si>
    <t>18/08/2024 13:10:54</t>
  </si>
  <si>
    <t>20/04/2024 11:15:46</t>
  </si>
  <si>
    <t>18/08/2024 11:15:46</t>
  </si>
  <si>
    <t>19/04/2024 18:11:34</t>
  </si>
  <si>
    <t>17/08/2024 18:11:34</t>
  </si>
  <si>
    <t>17/04/2024 21:40:07</t>
  </si>
  <si>
    <t>15/08/2024 21:40:07</t>
  </si>
  <si>
    <t>17/04/2024 21:20:25</t>
  </si>
  <si>
    <t>15/08/2024 21:20:25</t>
  </si>
  <si>
    <t>17/04/2024 18:57:52</t>
  </si>
  <si>
    <t>15/08/2024 18:57:52</t>
  </si>
  <si>
    <t>13/04/2024 11:49:30</t>
  </si>
  <si>
    <t>21/05/2024 22:16:47</t>
  </si>
  <si>
    <t>18/09/2024 22:16:47</t>
  </si>
  <si>
    <t>35.999,56</t>
  </si>
  <si>
    <t>19/06/2024 5:52:27</t>
  </si>
  <si>
    <t>17/10/2024 5:52:27</t>
  </si>
  <si>
    <t>19/06/2024 5:51:32</t>
  </si>
  <si>
    <t>17/10/2024 5:51:32</t>
  </si>
  <si>
    <t>30/09/2024 13:05:50</t>
  </si>
  <si>
    <t>34.385,4</t>
  </si>
  <si>
    <t>34.182,00</t>
  </si>
  <si>
    <t>31/01/2024 12:16:42</t>
  </si>
  <si>
    <t>13/06/2024 11:57:25</t>
  </si>
  <si>
    <t>32.614,08</t>
  </si>
  <si>
    <t>27/12/2023 11:23:56</t>
  </si>
  <si>
    <t>26/03/2024 11:23:56</t>
  </si>
  <si>
    <t>29.754,00</t>
  </si>
  <si>
    <t>22/10/2023 12:16:08</t>
  </si>
  <si>
    <t>20/01/2024 12:16:08</t>
  </si>
  <si>
    <t>27.216,00</t>
  </si>
  <si>
    <t>29/12/2023 13:18:19</t>
  </si>
  <si>
    <t>28/03/2024 13:18:19</t>
  </si>
  <si>
    <t>27.000,00</t>
  </si>
  <si>
    <t>23/12/2023 10:12:39</t>
  </si>
  <si>
    <t>22/03/2024 10:12:39</t>
  </si>
  <si>
    <t>18/11/2023 15:45:58</t>
  </si>
  <si>
    <t>16/02/2024 15:45:58</t>
  </si>
  <si>
    <t>31/01/2024 12:34:51</t>
  </si>
  <si>
    <t>22/10/2023 7:48:21</t>
  </si>
  <si>
    <t>20/01/2024 7:48:21</t>
  </si>
  <si>
    <t>21/10/2023 9:38:15</t>
  </si>
  <si>
    <t>19/01/2024 9:38:15</t>
  </si>
  <si>
    <t>30/05/2024 15:52:57</t>
  </si>
  <si>
    <t>19.067,39</t>
  </si>
  <si>
    <t>30/05/2024 18:14:21</t>
  </si>
  <si>
    <t>19.052,66</t>
  </si>
  <si>
    <t>18.808,01</t>
  </si>
  <si>
    <t>18.314,99</t>
  </si>
  <si>
    <t>14/03/2024 13:17:50</t>
  </si>
  <si>
    <t>17.133,55</t>
  </si>
  <si>
    <t>14.400,00</t>
  </si>
  <si>
    <t>22/11/2023 11:20:39</t>
  </si>
  <si>
    <t>21/01/2024 11:20:39</t>
  </si>
  <si>
    <t>11.196,00</t>
  </si>
  <si>
    <t>10.800,00</t>
  </si>
  <si>
    <t>27/11/2023 15:35:32</t>
  </si>
  <si>
    <t>26/01/2024 15:35:32</t>
  </si>
  <si>
    <t>15/11/2023 14:11:06</t>
  </si>
  <si>
    <t>14/01/2024 14:11:06</t>
  </si>
  <si>
    <t>10.476,00</t>
  </si>
  <si>
    <t>26/12/2023 12:31:07</t>
  </si>
  <si>
    <t>24/02/2024 12:31:07</t>
  </si>
  <si>
    <t>9.792,00</t>
  </si>
  <si>
    <t>26/12/2023 13:28:50</t>
  </si>
  <si>
    <t>24/02/2024 13:28:50</t>
  </si>
  <si>
    <t>7.200,00</t>
  </si>
  <si>
    <t>18/11/2023 13:28:21</t>
  </si>
  <si>
    <t>17/01/2024 13:28:21</t>
  </si>
  <si>
    <t>6.012,00</t>
  </si>
  <si>
    <t>28/11/2023 16:39:51</t>
  </si>
  <si>
    <t>27/01/2024 16:39:51</t>
  </si>
  <si>
    <t>5.400,00</t>
  </si>
  <si>
    <t>27/12/2023 15:34:08</t>
  </si>
  <si>
    <t>25/02/2024 15:34:08</t>
  </si>
  <si>
    <t>5.076,00</t>
  </si>
  <si>
    <t>28/12/2023 14:18:21</t>
  </si>
  <si>
    <t>26/02/2024 14:18:21</t>
  </si>
  <si>
    <t>4.356,00</t>
  </si>
  <si>
    <t>4.140,00</t>
  </si>
  <si>
    <t>21/10/2023 23:13:49</t>
  </si>
  <si>
    <t>20/12/2023 23:13:49</t>
  </si>
  <si>
    <t>15/12/2023 18:20:23</t>
  </si>
  <si>
    <t>13/02/2024 18:20:23</t>
  </si>
  <si>
    <t>3.924,00</t>
  </si>
  <si>
    <t>17/12/2023 12:22:03</t>
  </si>
  <si>
    <t>15/02/2024 12:22:03</t>
  </si>
  <si>
    <t>3.816,00</t>
  </si>
  <si>
    <t>3.780,00</t>
  </si>
  <si>
    <t>21/10/2023 11:36:31</t>
  </si>
  <si>
    <t>20/12/2023 11:36:31</t>
  </si>
  <si>
    <t>3.708,00</t>
  </si>
  <si>
    <t>3.636,00</t>
  </si>
  <si>
    <t>30/11/2023 16:20:06</t>
  </si>
  <si>
    <t>29/01/2024 16:20:06</t>
  </si>
  <si>
    <t>28/11/2023 16:42:08</t>
  </si>
  <si>
    <t>27/01/2024 16:42:08</t>
  </si>
  <si>
    <t>18/11/2023 12:22:11</t>
  </si>
  <si>
    <t>17/01/2024 12:22:11</t>
  </si>
  <si>
    <t>3.600,00</t>
  </si>
  <si>
    <t>27/12/2023 11:39:43</t>
  </si>
  <si>
    <t>25/02/2024 11:39:43</t>
  </si>
  <si>
    <t>26/12/2023 10:16:54</t>
  </si>
  <si>
    <t>24/02/2024 10:16:54</t>
  </si>
  <si>
    <t>23/12/2023 19:01:12</t>
  </si>
  <si>
    <t>21/02/2024 19:01:12</t>
  </si>
  <si>
    <t>20/12/2023 11:24:21</t>
  </si>
  <si>
    <t>18/02/2024 11:24:21</t>
  </si>
  <si>
    <t>18/12/2023 20:37:02</t>
  </si>
  <si>
    <t>16/02/2024 20:37:02</t>
  </si>
  <si>
    <t>17/12/2023 12:06:47</t>
  </si>
  <si>
    <t>15/02/2024 12:06:47</t>
  </si>
  <si>
    <t>14/12/2023 14:22:38</t>
  </si>
  <si>
    <t>13/12/2023 13:07:41</t>
  </si>
  <si>
    <t>31/01/2024 21:59:27</t>
  </si>
  <si>
    <t>30/01/2024 16:22:07</t>
  </si>
  <si>
    <t>30/11/2023 17:19:53</t>
  </si>
  <si>
    <t>29/01/2024 17:19:53</t>
  </si>
  <si>
    <t>27/11/2023 20:23:50</t>
  </si>
  <si>
    <t>26/01/2024 20:23:50</t>
  </si>
  <si>
    <t>27/11/2023 14:33:44</t>
  </si>
  <si>
    <t>26/01/2024 14:33:44</t>
  </si>
  <si>
    <t>15/11/2023 8:25:39</t>
  </si>
  <si>
    <t>14/01/2024 8:25:39</t>
  </si>
  <si>
    <t>23/10/2023 20:02:52</t>
  </si>
  <si>
    <t>22/12/2023 20:02:52</t>
  </si>
  <si>
    <t>28/02/2024 17:25:11</t>
  </si>
  <si>
    <t>28/04/2024 17:25:11</t>
  </si>
  <si>
    <t>2.971,56</t>
  </si>
  <si>
    <t>29/02/2024 17:08:07</t>
  </si>
  <si>
    <t>29/04/2024 17:08:07</t>
  </si>
  <si>
    <t>2.941,91</t>
  </si>
  <si>
    <t>29/02/2024 17:30:11</t>
  </si>
  <si>
    <t>29/04/2024 17:30:11</t>
  </si>
  <si>
    <t>2.941,45</t>
  </si>
  <si>
    <t>29/02/2024 17:37:04</t>
  </si>
  <si>
    <t>29/04/2024 17:37:04</t>
  </si>
  <si>
    <t>2.941,31</t>
  </si>
  <si>
    <t>29/02/2024 17:38:26</t>
  </si>
  <si>
    <t>29/04/2024 17:38:26</t>
  </si>
  <si>
    <t>2.941,28</t>
  </si>
  <si>
    <t>29/02/2024 17:52:13</t>
  </si>
  <si>
    <t>29/04/2024 17:52:13</t>
  </si>
  <si>
    <t>2.940,99</t>
  </si>
  <si>
    <t>29/02/2024 19:33:53</t>
  </si>
  <si>
    <t>29/04/2024 19:33:53</t>
  </si>
  <si>
    <t>2.938,88</t>
  </si>
  <si>
    <t>29/02/2024 20:41:59</t>
  </si>
  <si>
    <t>29/04/2024 20:41:59</t>
  </si>
  <si>
    <t>2.937,46</t>
  </si>
  <si>
    <t>29/02/2024 21:25:44</t>
  </si>
  <si>
    <t>29/04/2024 21:25:44</t>
  </si>
  <si>
    <t>2.936,55</t>
  </si>
  <si>
    <t>29/02/2024 21:32:36</t>
  </si>
  <si>
    <t>29/04/2024 21:32:36</t>
  </si>
  <si>
    <t>2.936,40</t>
  </si>
  <si>
    <t>30/04/2024 14:03:28</t>
  </si>
  <si>
    <t>2.915,76</t>
  </si>
  <si>
    <t>30/04/2024 15:33:00</t>
  </si>
  <si>
    <t>2.913,89</t>
  </si>
  <si>
    <t>2.893,75</t>
  </si>
  <si>
    <t>2.851,77</t>
  </si>
  <si>
    <t>2.821,48</t>
  </si>
  <si>
    <t>2.768,10</t>
  </si>
  <si>
    <t>2.765,22</t>
  </si>
  <si>
    <t>2.762,90</t>
  </si>
  <si>
    <t>13/03/2024 21:20:46</t>
  </si>
  <si>
    <t>2.546,65</t>
  </si>
  <si>
    <t>16/04/2024 9:46:41</t>
  </si>
  <si>
    <t>2.441,11</t>
  </si>
  <si>
    <t>26/01/2024 12:04:47</t>
  </si>
  <si>
    <t>1.728,00</t>
  </si>
  <si>
    <t>19/11/2023 13:35:56</t>
  </si>
  <si>
    <t>28/12/2023 14:25:58</t>
  </si>
  <si>
    <t>1.620,00</t>
  </si>
  <si>
    <t>22/12/2023 19:22:14</t>
  </si>
  <si>
    <t>28/11/2023 16:46:56</t>
  </si>
  <si>
    <t>1.593,00</t>
  </si>
  <si>
    <t>19/02/2024 12:11:31</t>
  </si>
  <si>
    <t>1.539,00</t>
  </si>
  <si>
    <t>20/12/2023 16:12:11</t>
  </si>
  <si>
    <t>30/12/2023 5:54:32</t>
  </si>
  <si>
    <t>13/02/2024 5:54:32</t>
  </si>
  <si>
    <t>1.458,00</t>
  </si>
  <si>
    <t>15/11/2023 23:02:28</t>
  </si>
  <si>
    <t>30/12/2023 23:02:28</t>
  </si>
  <si>
    <t>17/12/2023 15:02:13</t>
  </si>
  <si>
    <t>25/12/2023 13:01:08</t>
  </si>
  <si>
    <t>1.404,00</t>
  </si>
  <si>
    <t>18/12/2023 21:46:40</t>
  </si>
  <si>
    <t>1.377,00</t>
  </si>
  <si>
    <t>20/11/2023 16:37:51</t>
  </si>
  <si>
    <t>16/11/2023 8:25:50</t>
  </si>
  <si>
    <t>31/12/2023 8:25:50</t>
  </si>
  <si>
    <t>23/12/2023 17:57:25</t>
  </si>
  <si>
    <t>18/12/2023 10:09:54</t>
  </si>
  <si>
    <t>19/02/2024 13:51:57</t>
  </si>
  <si>
    <t>1.350,00</t>
  </si>
  <si>
    <t>29/12/2023 10:37:50</t>
  </si>
  <si>
    <t>25/12/2023 10:53:42</t>
  </si>
  <si>
    <t>16/12/2023 11:11:27</t>
  </si>
  <si>
    <t>30/01/2024 11:11:27</t>
  </si>
  <si>
    <t>18/01/2024 9:13:54</t>
  </si>
  <si>
    <t>17/01/2024 13:08:25</t>
  </si>
  <si>
    <t>20/11/2023 16:39:21</t>
  </si>
  <si>
    <t>22/12/2023 9:34:46</t>
  </si>
  <si>
    <t>26/12/2023 12:36:06</t>
  </si>
  <si>
    <t>1.296,00</t>
  </si>
  <si>
    <t>17/12/2023 13:26:17</t>
  </si>
  <si>
    <t>1.242,00</t>
  </si>
  <si>
    <t>15/11/2023 20:01:15</t>
  </si>
  <si>
    <t>30/12/2023 20:01:15</t>
  </si>
  <si>
    <t>1.080,00</t>
  </si>
  <si>
    <t>26/12/2023 11:55:33</t>
  </si>
  <si>
    <t>972,00</t>
  </si>
  <si>
    <t>26/12/2023 11:41:36</t>
  </si>
  <si>
    <t>17/12/2023 15:50:46</t>
  </si>
  <si>
    <t>26/05/2024 19:22:36</t>
  </si>
  <si>
    <t>810,00</t>
  </si>
  <si>
    <t>26/05/2024 14:34:00</t>
  </si>
  <si>
    <t>26/05/2024 9:44:06</t>
  </si>
  <si>
    <t>25/05/2024 23:59:04</t>
  </si>
  <si>
    <t>25/05/2024 20:55:51</t>
  </si>
  <si>
    <t>25/05/2024 20:25:18</t>
  </si>
  <si>
    <t>25/05/2024 19:17:23</t>
  </si>
  <si>
    <t>25/05/2024 17:50:11</t>
  </si>
  <si>
    <t>25/05/2024 11:20:53</t>
  </si>
  <si>
    <t>25/05/2024 11:19:25</t>
  </si>
  <si>
    <t>24/05/2024 19:10:02</t>
  </si>
  <si>
    <t>24/05/2024 18:25:47</t>
  </si>
  <si>
    <t>24/05/2024 18:00:37</t>
  </si>
  <si>
    <t>24/05/2024 17:38:22</t>
  </si>
  <si>
    <t>24/05/2024 17:36:13</t>
  </si>
  <si>
    <t>24/05/2024 17:34:43</t>
  </si>
  <si>
    <t>24/05/2024 17:31:31</t>
  </si>
  <si>
    <t>24/05/2024 17:30:30</t>
  </si>
  <si>
    <t>24/05/2024 17:19:09</t>
  </si>
  <si>
    <t>24/05/2024 16:12:26</t>
  </si>
  <si>
    <t>24/05/2024 16:04:18</t>
  </si>
  <si>
    <t>24/05/2024 16:02:15</t>
  </si>
  <si>
    <t>24/05/2024 15:57:53</t>
  </si>
  <si>
    <t>24/05/2024 15:57:01</t>
  </si>
  <si>
    <t>24/05/2024 15:54:05</t>
  </si>
  <si>
    <t>28/02/2024 17:27:45</t>
  </si>
  <si>
    <t>13/04/2024 17:27:45</t>
  </si>
  <si>
    <t>756,45</t>
  </si>
  <si>
    <t>29/02/2024 17:12:53</t>
  </si>
  <si>
    <t>14/04/2024 17:12:53</t>
  </si>
  <si>
    <t>747,54</t>
  </si>
  <si>
    <t>29/02/2024 17:18:57</t>
  </si>
  <si>
    <t>14/04/2024 17:18:57</t>
  </si>
  <si>
    <t>747,51</t>
  </si>
  <si>
    <t>29/02/2024 17:23:08</t>
  </si>
  <si>
    <t>14/04/2024 17:23:08</t>
  </si>
  <si>
    <t>747,48</t>
  </si>
  <si>
    <t>29/02/2024 17:31:48</t>
  </si>
  <si>
    <t>14/04/2024 17:31:48</t>
  </si>
  <si>
    <t>747,43</t>
  </si>
  <si>
    <t>29/02/2024 17:39:02</t>
  </si>
  <si>
    <t>14/04/2024 17:39:02</t>
  </si>
  <si>
    <t>747,38</t>
  </si>
  <si>
    <t>29/02/2024 18:00:54</t>
  </si>
  <si>
    <t>14/04/2024 18:00:54</t>
  </si>
  <si>
    <t>747,24</t>
  </si>
  <si>
    <t>29/02/2024 18:22:49</t>
  </si>
  <si>
    <t>14/04/2024 18:22:49</t>
  </si>
  <si>
    <t>747,11</t>
  </si>
  <si>
    <t>29/02/2024 20:02:05</t>
  </si>
  <si>
    <t>14/04/2024 20:02:05</t>
  </si>
  <si>
    <t>746,49</t>
  </si>
  <si>
    <t>29/02/2024 20:24:10</t>
  </si>
  <si>
    <t>14/04/2024 20:24:10</t>
  </si>
  <si>
    <t>746,35</t>
  </si>
  <si>
    <t>29/02/2024 20:35:43</t>
  </si>
  <si>
    <t>14/04/2024 20:35:43</t>
  </si>
  <si>
    <t>746,28</t>
  </si>
  <si>
    <t>29/02/2024 21:04:15</t>
  </si>
  <si>
    <t>14/04/2024 21:04:15</t>
  </si>
  <si>
    <t>746,10</t>
  </si>
  <si>
    <t>29/02/2024 21:04:47</t>
  </si>
  <si>
    <t>14/04/2024 21:04:47</t>
  </si>
  <si>
    <t>746,09</t>
  </si>
  <si>
    <t>29/02/2024 21:05:33</t>
  </si>
  <si>
    <t>14/04/2024 21:05:33</t>
  </si>
  <si>
    <t>29/02/2024 21:06:09</t>
  </si>
  <si>
    <t>14/04/2024 21:06:09</t>
  </si>
  <si>
    <t>29/02/2024 21:06:55</t>
  </si>
  <si>
    <t>14/04/2024 21:06:55</t>
  </si>
  <si>
    <t>746,08</t>
  </si>
  <si>
    <t>29/02/2024 21:07:28</t>
  </si>
  <si>
    <t>14/04/2024 21:07:28</t>
  </si>
  <si>
    <t>29/02/2024 21:36:10</t>
  </si>
  <si>
    <t>14/04/2024 21:36:10</t>
  </si>
  <si>
    <t>745,90</t>
  </si>
  <si>
    <t>29/02/2024 21:40:46</t>
  </si>
  <si>
    <t>14/04/2024 21:40:46</t>
  </si>
  <si>
    <t>745,87</t>
  </si>
  <si>
    <t>29/02/2024 21:43:41</t>
  </si>
  <si>
    <t>14/04/2024 21:43:41</t>
  </si>
  <si>
    <t>745,85</t>
  </si>
  <si>
    <t>29/02/2024 21:47:35</t>
  </si>
  <si>
    <t>14/04/2024 21:47:35</t>
  </si>
  <si>
    <t>745,83</t>
  </si>
  <si>
    <t>29/02/2024 21:50:15</t>
  </si>
  <si>
    <t>14/04/2024 21:50:15</t>
  </si>
  <si>
    <t>745,81</t>
  </si>
  <si>
    <t>29/02/2024 21:50:57</t>
  </si>
  <si>
    <t>14/04/2024 21:50:57</t>
  </si>
  <si>
    <t>29/02/2024 21:54:37</t>
  </si>
  <si>
    <t>14/04/2024 21:54:37</t>
  </si>
  <si>
    <t>745,78</t>
  </si>
  <si>
    <t>29/02/2024 22:20:53</t>
  </si>
  <si>
    <t>14/04/2024 22:20:53</t>
  </si>
  <si>
    <t>745,62</t>
  </si>
  <si>
    <t>29/02/2024 22:31:27</t>
  </si>
  <si>
    <t>14/04/2024 22:31:27</t>
  </si>
  <si>
    <t>745,55</t>
  </si>
  <si>
    <t>29/02/2024 22:42:54</t>
  </si>
  <si>
    <t>14/04/2024 22:42:54</t>
  </si>
  <si>
    <t>745,48</t>
  </si>
  <si>
    <t>29/02/2024 23:11:16</t>
  </si>
  <si>
    <t>14/04/2024 23:11:16</t>
  </si>
  <si>
    <t>745,30</t>
  </si>
  <si>
    <t>15/04/2024 5:30:54</t>
  </si>
  <si>
    <t>742,93</t>
  </si>
  <si>
    <t>15/04/2024 7:49:51</t>
  </si>
  <si>
    <t>742,06</t>
  </si>
  <si>
    <t>15/04/2024 8:17:22</t>
  </si>
  <si>
    <t>741,89</t>
  </si>
  <si>
    <t>15/04/2024 8:26:33</t>
  </si>
  <si>
    <t>741,83</t>
  </si>
  <si>
    <t>15/04/2024 8:29:41</t>
  </si>
  <si>
    <t>741,81</t>
  </si>
  <si>
    <t>15/04/2024 8:42:02</t>
  </si>
  <si>
    <t>741,74</t>
  </si>
  <si>
    <t>15/04/2024 10:25:51</t>
  </si>
  <si>
    <t>741,09</t>
  </si>
  <si>
    <t>15/04/2024 10:38:42</t>
  </si>
  <si>
    <t>741,01</t>
  </si>
  <si>
    <t>15/04/2024 11:11:03</t>
  </si>
  <si>
    <t>740,81</t>
  </si>
  <si>
    <t>15/04/2024 12:22:48</t>
  </si>
  <si>
    <t>740,36</t>
  </si>
  <si>
    <t>15/04/2024 12:50:23</t>
  </si>
  <si>
    <t>740,18</t>
  </si>
  <si>
    <t>15/04/2024 12:54:07</t>
  </si>
  <si>
    <t>740,16</t>
  </si>
  <si>
    <t>15/04/2024 13:19:33</t>
  </si>
  <si>
    <t>740,00</t>
  </si>
  <si>
    <t>15/04/2024 13:51:51</t>
  </si>
  <si>
    <t>739,80</t>
  </si>
  <si>
    <t>15/04/2024 14:56:07</t>
  </si>
  <si>
    <t>739,40</t>
  </si>
  <si>
    <t>15/04/2024 15:04:47</t>
  </si>
  <si>
    <t>739,34</t>
  </si>
  <si>
    <t>15/04/2024 15:36:11</t>
  </si>
  <si>
    <t>739,15</t>
  </si>
  <si>
    <t>15/04/2024 15:38:59</t>
  </si>
  <si>
    <t>739,13</t>
  </si>
  <si>
    <t>15/04/2024 15:40:24</t>
  </si>
  <si>
    <t>739,12</t>
  </si>
  <si>
    <t>15/04/2024 15:55:04</t>
  </si>
  <si>
    <t>739,03</t>
  </si>
  <si>
    <t>15/04/2024 15:56:51</t>
  </si>
  <si>
    <t>739,02</t>
  </si>
  <si>
    <t>15/04/2024 16:04:56</t>
  </si>
  <si>
    <t>738,97</t>
  </si>
  <si>
    <t>15/04/2024 17:38:04</t>
  </si>
  <si>
    <t>738,39</t>
  </si>
  <si>
    <t>15/04/2024 17:40:41</t>
  </si>
  <si>
    <t>738,37</t>
  </si>
  <si>
    <t>15/04/2024 17:43:07</t>
  </si>
  <si>
    <t>738,35</t>
  </si>
  <si>
    <t>15/04/2024 17:44:56</t>
  </si>
  <si>
    <t>738,34</t>
  </si>
  <si>
    <t>15/04/2024 18:17:42</t>
  </si>
  <si>
    <t>738,14</t>
  </si>
  <si>
    <t>15/04/2024 18:19:41</t>
  </si>
  <si>
    <t>738,13</t>
  </si>
  <si>
    <t>15/04/2024 18:21:44</t>
  </si>
  <si>
    <t>738,11</t>
  </si>
  <si>
    <t>15/04/2024 18:23:37</t>
  </si>
  <si>
    <t>738,10</t>
  </si>
  <si>
    <t>15/04/2024 18:25:31</t>
  </si>
  <si>
    <t>738,09</t>
  </si>
  <si>
    <t>15/04/2024 18:27:18</t>
  </si>
  <si>
    <t>738,08</t>
  </si>
  <si>
    <t>15/04/2024 18:28:54</t>
  </si>
  <si>
    <t>738,07</t>
  </si>
  <si>
    <t>15/04/2024 18:30:18</t>
  </si>
  <si>
    <t>738,06</t>
  </si>
  <si>
    <t>15/04/2024 18:31:55</t>
  </si>
  <si>
    <t>738,05</t>
  </si>
  <si>
    <t>15/04/2024 18:55:25</t>
  </si>
  <si>
    <t>737,90</t>
  </si>
  <si>
    <t>15/04/2024 19:34:09</t>
  </si>
  <si>
    <t>737,66</t>
  </si>
  <si>
    <t>15/04/2024 21:18:42</t>
  </si>
  <si>
    <t>737,01</t>
  </si>
  <si>
    <t>15/04/2024 21:39:58</t>
  </si>
  <si>
    <t>736,87</t>
  </si>
  <si>
    <t>15/04/2024 22:37:03</t>
  </si>
  <si>
    <t>736,52</t>
  </si>
  <si>
    <t>15/04/2024 22:53:07</t>
  </si>
  <si>
    <t>736,42</t>
  </si>
  <si>
    <t>16/04/2024 7:36:23</t>
  </si>
  <si>
    <t>733,15</t>
  </si>
  <si>
    <t>16/04/2024 7:44:31</t>
  </si>
  <si>
    <t>733,10</t>
  </si>
  <si>
    <t>16/04/2024 8:10:13</t>
  </si>
  <si>
    <t>732,94</t>
  </si>
  <si>
    <t>16/04/2024 8:39:25</t>
  </si>
  <si>
    <t>732,75</t>
  </si>
  <si>
    <t>16/04/2024 9:55:58</t>
  </si>
  <si>
    <t>732,27</t>
  </si>
  <si>
    <t>16/04/2024 10:39:47</t>
  </si>
  <si>
    <t>732,00</t>
  </si>
  <si>
    <t>16/04/2024 16:27:52</t>
  </si>
  <si>
    <t>729,83</t>
  </si>
  <si>
    <t>16/04/2024 16:29:24</t>
  </si>
  <si>
    <t>729,82</t>
  </si>
  <si>
    <t>16/04/2024 16:31:03</t>
  </si>
  <si>
    <t>729,81</t>
  </si>
  <si>
    <t>16/04/2024 18:55:56</t>
  </si>
  <si>
    <t>728,90</t>
  </si>
  <si>
    <t>16/04/2024 21:38:40</t>
  </si>
  <si>
    <t>727,88</t>
  </si>
  <si>
    <t>16/04/2024 22:23:31</t>
  </si>
  <si>
    <t>727,60</t>
  </si>
  <si>
    <t>16/04/2024 23:43:49</t>
  </si>
  <si>
    <t>727,10</t>
  </si>
  <si>
    <t>16/04/2024 23:47:58</t>
  </si>
  <si>
    <t>727,07</t>
  </si>
  <si>
    <t>16/04/2024 23:52:44</t>
  </si>
  <si>
    <t>727,04</t>
  </si>
  <si>
    <t>16/04/2024 23:53:30</t>
  </si>
  <si>
    <t>16/04/2024 23:55:33</t>
  </si>
  <si>
    <t>727,03</t>
  </si>
  <si>
    <t>17/04/2024 8:43:44</t>
  </si>
  <si>
    <t>723,73</t>
  </si>
  <si>
    <t>17/04/2024 9:11:54</t>
  </si>
  <si>
    <t>723,55</t>
  </si>
  <si>
    <t>17/04/2024 11:33:33</t>
  </si>
  <si>
    <t>722,66</t>
  </si>
  <si>
    <t>17/04/2024 12:44:13</t>
  </si>
  <si>
    <t>722,22</t>
  </si>
  <si>
    <t>17/04/2024 12:59:51</t>
  </si>
  <si>
    <t>722,13</t>
  </si>
  <si>
    <t>17/04/2024 15:53:44</t>
  </si>
  <si>
    <t>721,04</t>
  </si>
  <si>
    <t>17/04/2024 16:00:14</t>
  </si>
  <si>
    <t>721,00</t>
  </si>
  <si>
    <t>17/04/2024 16:45:16</t>
  </si>
  <si>
    <t>720,72</t>
  </si>
  <si>
    <t>17/04/2024 17:11:12</t>
  </si>
  <si>
    <t>720,55</t>
  </si>
  <si>
    <t>17/04/2024 18:20:05</t>
  </si>
  <si>
    <t>720,12</t>
  </si>
  <si>
    <t>17/04/2024 19:42:31</t>
  </si>
  <si>
    <t>719,61</t>
  </si>
  <si>
    <t>17/04/2024 19:56:23</t>
  </si>
  <si>
    <t>719,52</t>
  </si>
  <si>
    <t>17/04/2024 21:56:41</t>
  </si>
  <si>
    <t>718,77</t>
  </si>
  <si>
    <t>17/04/2024 22:15:01</t>
  </si>
  <si>
    <t>718,66</t>
  </si>
  <si>
    <t>17/04/2024 22:19:40</t>
  </si>
  <si>
    <t>718,63</t>
  </si>
  <si>
    <t>17/04/2024 22:23:31</t>
  </si>
  <si>
    <t>718,60</t>
  </si>
  <si>
    <t>17/04/2024 22:25:29</t>
  </si>
  <si>
    <t>718,59</t>
  </si>
  <si>
    <t>17/04/2024 22:27:05</t>
  </si>
  <si>
    <t>718,58</t>
  </si>
  <si>
    <t>17/04/2024 22:28:42</t>
  </si>
  <si>
    <t>718,57</t>
  </si>
  <si>
    <t>18/04/2024 8:57:58</t>
  </si>
  <si>
    <t>714,64</t>
  </si>
  <si>
    <t>18/04/2024 11:28:18</t>
  </si>
  <si>
    <t>713,70</t>
  </si>
  <si>
    <t>18/04/2024 12:13:25</t>
  </si>
  <si>
    <t>713,42</t>
  </si>
  <si>
    <t>18/04/2024 12:26:50</t>
  </si>
  <si>
    <t>713,33</t>
  </si>
  <si>
    <t>18/04/2024 14:10:35</t>
  </si>
  <si>
    <t>712,68</t>
  </si>
  <si>
    <t>18/04/2024 16:18:22</t>
  </si>
  <si>
    <t>711,88</t>
  </si>
  <si>
    <t>19/04/2024 15:26:04</t>
  </si>
  <si>
    <t>703,21</t>
  </si>
  <si>
    <t>19/04/2024 15:57:02</t>
  </si>
  <si>
    <t>703,02</t>
  </si>
  <si>
    <t>19/04/2024 17:33:50</t>
  </si>
  <si>
    <t>702,41</t>
  </si>
  <si>
    <t>19/04/2024 22:16:33</t>
  </si>
  <si>
    <t>700,65</t>
  </si>
  <si>
    <t>19/04/2024 23:08:41</t>
  </si>
  <si>
    <t>700,32</t>
  </si>
  <si>
    <t>20/04/2024 9:19:49</t>
  </si>
  <si>
    <t>696,50</t>
  </si>
  <si>
    <t>20/04/2024 12:04:24</t>
  </si>
  <si>
    <t>695,47</t>
  </si>
  <si>
    <t>20/04/2024 12:06:53</t>
  </si>
  <si>
    <t>695,46</t>
  </si>
  <si>
    <t>20/04/2024 12:23:19</t>
  </si>
  <si>
    <t>695,35</t>
  </si>
  <si>
    <t>20/04/2024 13:28:43</t>
  </si>
  <si>
    <t>694,94</t>
  </si>
  <si>
    <t>20/04/2024 13:32:39</t>
  </si>
  <si>
    <t>694,92</t>
  </si>
  <si>
    <t>20/04/2024 15:26:28</t>
  </si>
  <si>
    <t>694,21</t>
  </si>
  <si>
    <t>20/04/2024 17:41:25</t>
  </si>
  <si>
    <t>693,37</t>
  </si>
  <si>
    <t>20/04/2024 19:29:08</t>
  </si>
  <si>
    <t>692,69</t>
  </si>
  <si>
    <t>20/04/2024 19:36:22</t>
  </si>
  <si>
    <t>692,65</t>
  </si>
  <si>
    <t>20/04/2024 20:54:38</t>
  </si>
  <si>
    <t>692,16</t>
  </si>
  <si>
    <t>20/04/2024 21:52:34</t>
  </si>
  <si>
    <t>691,80</t>
  </si>
  <si>
    <t>20/04/2024 22:33:23</t>
  </si>
  <si>
    <t>691,54</t>
  </si>
  <si>
    <t>20/04/2024 22:34:48</t>
  </si>
  <si>
    <t>691,53</t>
  </si>
  <si>
    <t>20/04/2024 22:51:46</t>
  </si>
  <si>
    <t>691,43</t>
  </si>
  <si>
    <t>21/04/2024 8:09:51</t>
  </si>
  <si>
    <t>687,94</t>
  </si>
  <si>
    <t>21/04/2024 15:07:28</t>
  </si>
  <si>
    <t>685,33</t>
  </si>
  <si>
    <t>22/04/2024 9:58:34</t>
  </si>
  <si>
    <t>678,26</t>
  </si>
  <si>
    <t>22/04/2024 12:18:36</t>
  </si>
  <si>
    <t>677,38</t>
  </si>
  <si>
    <t>22/04/2024 17:12:24</t>
  </si>
  <si>
    <t>675,55</t>
  </si>
  <si>
    <t>22/04/2024 19:17:23</t>
  </si>
  <si>
    <t>674,77</t>
  </si>
  <si>
    <t>22/04/2024 20:04:34</t>
  </si>
  <si>
    <t>674,47</t>
  </si>
  <si>
    <t>22/04/2024 21:42:34</t>
  </si>
  <si>
    <t>673,86</t>
  </si>
  <si>
    <t>24/04/2024 3:59:16</t>
  </si>
  <si>
    <t>662,50</t>
  </si>
  <si>
    <t>24/04/2024 14:04:17</t>
  </si>
  <si>
    <t>658,72</t>
  </si>
  <si>
    <t>25/04/2024 10:44:26</t>
  </si>
  <si>
    <t>650,97</t>
  </si>
  <si>
    <t>25/04/2024 11:52:33</t>
  </si>
  <si>
    <t>650,55</t>
  </si>
  <si>
    <t>25/04/2024 15:39:06</t>
  </si>
  <si>
    <t>649,13</t>
  </si>
  <si>
    <t>25/04/2024 17:39:16</t>
  </si>
  <si>
    <t>648,38</t>
  </si>
  <si>
    <t>15/11/2023 22:47:23</t>
  </si>
  <si>
    <t>30/12/2023 22:47:23</t>
  </si>
  <si>
    <t>648,00</t>
  </si>
  <si>
    <t>25/04/2024 19:01:15</t>
  </si>
  <si>
    <t>647,87</t>
  </si>
  <si>
    <t>26/04/2024 17:50:55</t>
  </si>
  <si>
    <t>639,31</t>
  </si>
  <si>
    <t>26/04/2024 23:20:49</t>
  </si>
  <si>
    <t>637,24</t>
  </si>
  <si>
    <t>13/03/2024 10:27:17</t>
  </si>
  <si>
    <t>27/04/2024 10:27:17</t>
  </si>
  <si>
    <t>633,08</t>
  </si>
  <si>
    <t>13/03/2024 10:30:59</t>
  </si>
  <si>
    <t>27/04/2024 10:30:59</t>
  </si>
  <si>
    <t>633,06</t>
  </si>
  <si>
    <t>14/03/2024 12:54:27</t>
  </si>
  <si>
    <t>28/04/2024 12:54:27</t>
  </si>
  <si>
    <t>623,16</t>
  </si>
  <si>
    <t>14/03/2024 15:55:15</t>
  </si>
  <si>
    <t>28/04/2024 15:55:15</t>
  </si>
  <si>
    <t>622,03</t>
  </si>
  <si>
    <t>14/03/2024 17:02:35</t>
  </si>
  <si>
    <t>28/04/2024 17:02:35</t>
  </si>
  <si>
    <t>621,61</t>
  </si>
  <si>
    <t>14/03/2024 17:22:55</t>
  </si>
  <si>
    <t>28/04/2024 17:22:55</t>
  </si>
  <si>
    <t>621,48</t>
  </si>
  <si>
    <t>14/03/2024 21:27:04</t>
  </si>
  <si>
    <t>28/04/2024 21:27:04</t>
  </si>
  <si>
    <t>619,96</t>
  </si>
  <si>
    <t>15/03/2024 20:14:46</t>
  </si>
  <si>
    <t>29/04/2024 20:14:46</t>
  </si>
  <si>
    <t>611,41</t>
  </si>
  <si>
    <t>15/03/2024 20:16:39</t>
  </si>
  <si>
    <t>29/04/2024 20:16:39</t>
  </si>
  <si>
    <t>611,40</t>
  </si>
  <si>
    <t>16/03/2024 13:00:04</t>
  </si>
  <si>
    <t>30/04/2024 13:00:04</t>
  </si>
  <si>
    <t>605,12</t>
  </si>
  <si>
    <t>16/03/2024 13:21:58</t>
  </si>
  <si>
    <t>30/04/2024 13:21:58</t>
  </si>
  <si>
    <t>604,99</t>
  </si>
  <si>
    <t>16/03/2024 13:25:00</t>
  </si>
  <si>
    <t>30/04/2024 13:25:00</t>
  </si>
  <si>
    <t>604,97</t>
  </si>
  <si>
    <t>16/03/2024 14:50:42</t>
  </si>
  <si>
    <t>30/04/2024 14:50:42</t>
  </si>
  <si>
    <t>604,43</t>
  </si>
  <si>
    <t>16/03/2024 23:59:12</t>
  </si>
  <si>
    <t>30/04/2024 23:59:12</t>
  </si>
  <si>
    <t>601,00</t>
  </si>
  <si>
    <t>17/03/2024 9:10:34</t>
  </si>
  <si>
    <t>597,56</t>
  </si>
  <si>
    <t>17/03/2024 16:25:32</t>
  </si>
  <si>
    <t>594,84</t>
  </si>
  <si>
    <t>21/11/2023 17:45:59</t>
  </si>
  <si>
    <t>594,00</t>
  </si>
  <si>
    <t>18/03/2024 10:59:52</t>
  </si>
  <si>
    <t>587,88</t>
  </si>
  <si>
    <t>20/03/2024 10:58:29</t>
  </si>
  <si>
    <t>569,88</t>
  </si>
  <si>
    <t>20/03/2024 13:38:56</t>
  </si>
  <si>
    <t>568,88</t>
  </si>
  <si>
    <t>20/03/2024 15:51:10</t>
  </si>
  <si>
    <t>568,05</t>
  </si>
  <si>
    <t>21/03/2024 3:41:32</t>
  </si>
  <si>
    <t>563,61</t>
  </si>
  <si>
    <t>21/03/2024 4:42:50</t>
  </si>
  <si>
    <t>563,23</t>
  </si>
  <si>
    <t>21/03/2024 11:38:35</t>
  </si>
  <si>
    <t>560,63</t>
  </si>
  <si>
    <t>21/03/2024 11:45:35</t>
  </si>
  <si>
    <t>560,59</t>
  </si>
  <si>
    <t>21/03/2024 16:49:14</t>
  </si>
  <si>
    <t>558,69</t>
  </si>
  <si>
    <t>22/03/2024 10:10:49</t>
  </si>
  <si>
    <t>552,18</t>
  </si>
  <si>
    <t>18/01/2024 17:48:13</t>
  </si>
  <si>
    <t>540,00</t>
  </si>
  <si>
    <t>17/01/2024 21:33:13</t>
  </si>
  <si>
    <t>24/03/2024 10:55:29</t>
  </si>
  <si>
    <t>533,90</t>
  </si>
  <si>
    <t>24/03/2024 18:23:09</t>
  </si>
  <si>
    <t>531,10</t>
  </si>
  <si>
    <t>24/03/2024 21:46:26</t>
  </si>
  <si>
    <t>529,83</t>
  </si>
  <si>
    <t>25/03/2024 10:40:24</t>
  </si>
  <si>
    <t>525,00</t>
  </si>
  <si>
    <t>25/03/2024 11:52:17</t>
  </si>
  <si>
    <t>524,55</t>
  </si>
  <si>
    <t>25/03/2024 12:18:08</t>
  </si>
  <si>
    <t>524,39</t>
  </si>
  <si>
    <t>25/03/2024 15:41:48</t>
  </si>
  <si>
    <t>523,11</t>
  </si>
  <si>
    <t>25/03/2024 15:48:48</t>
  </si>
  <si>
    <t>523,07</t>
  </si>
  <si>
    <t>25/03/2024 16:08:15</t>
  </si>
  <si>
    <t>522,95</t>
  </si>
  <si>
    <t>25/03/2024 16:14:45</t>
  </si>
  <si>
    <t>522,91</t>
  </si>
  <si>
    <t>26/03/2024 11:24:03</t>
  </si>
  <si>
    <t>515,72</t>
  </si>
  <si>
    <t>26/03/2024 11:35:59</t>
  </si>
  <si>
    <t>515,65</t>
  </si>
  <si>
    <t>26/03/2024 15:54:13</t>
  </si>
  <si>
    <t>514,04</t>
  </si>
  <si>
    <t>17/12/2023 14:41:40</t>
  </si>
  <si>
    <t>513,00</t>
  </si>
  <si>
    <t>26/03/2024 18:43:27</t>
  </si>
  <si>
    <t>512,98</t>
  </si>
  <si>
    <t>27/03/2024 11:25:52</t>
  </si>
  <si>
    <t>506,71</t>
  </si>
  <si>
    <t>28/03/2024 12:24:41</t>
  </si>
  <si>
    <t>497,35</t>
  </si>
  <si>
    <t>28/03/2024 16:16:31</t>
  </si>
  <si>
    <t>495,90</t>
  </si>
  <si>
    <t>28/03/2024 22:51:08</t>
  </si>
  <si>
    <t>493,43</t>
  </si>
  <si>
    <t>29/03/2024 8:43:35</t>
  </si>
  <si>
    <t>13/05/2024 8:43:35</t>
  </si>
  <si>
    <t>489,73</t>
  </si>
  <si>
    <t>29/03/2024 12:17:15</t>
  </si>
  <si>
    <t>13/05/2024 12:17:15</t>
  </si>
  <si>
    <t>488,39</t>
  </si>
  <si>
    <t>29/03/2024 12:21:51</t>
  </si>
  <si>
    <t>13/05/2024 12:21:51</t>
  </si>
  <si>
    <t>488,36</t>
  </si>
  <si>
    <t>29/03/2024 14:29:16</t>
  </si>
  <si>
    <t>13/05/2024 14:29:16</t>
  </si>
  <si>
    <t>487,57</t>
  </si>
  <si>
    <t>29/03/2024 15:24:58</t>
  </si>
  <si>
    <t>13/05/2024 15:24:58</t>
  </si>
  <si>
    <t>487,22</t>
  </si>
  <si>
    <t>29/03/2024 16:03:59</t>
  </si>
  <si>
    <t>13/05/2024 16:03:59</t>
  </si>
  <si>
    <t>486,97</t>
  </si>
  <si>
    <t>29/03/2024 17:03:47</t>
  </si>
  <si>
    <t>13/05/2024 17:03:47</t>
  </si>
  <si>
    <t>486,60</t>
  </si>
  <si>
    <t>23/12/2023 12:56:44</t>
  </si>
  <si>
    <t>486,00</t>
  </si>
  <si>
    <t>30/03/2024 10:36:46</t>
  </si>
  <si>
    <t>14/05/2024 10:36:46</t>
  </si>
  <si>
    <t>480,02</t>
  </si>
  <si>
    <t>30/03/2024 12:51:37</t>
  </si>
  <si>
    <t>14/05/2024 12:51:37</t>
  </si>
  <si>
    <t>479,18</t>
  </si>
  <si>
    <t>30/03/2024 12:55:07</t>
  </si>
  <si>
    <t>14/05/2024 12:55:07</t>
  </si>
  <si>
    <t>479,15</t>
  </si>
  <si>
    <t>30/03/2024 13:34:29</t>
  </si>
  <si>
    <t>14/05/2024 13:34:29</t>
  </si>
  <si>
    <t>478,91</t>
  </si>
  <si>
    <t>31/03/2024 0:58:58</t>
  </si>
  <si>
    <t>15/05/2024 0:58:58</t>
  </si>
  <si>
    <t>474,63</t>
  </si>
  <si>
    <t>16/05/2024 12:05:02</t>
  </si>
  <si>
    <t>461,47</t>
  </si>
  <si>
    <t>16/05/2024 13:14:00</t>
  </si>
  <si>
    <t>461,04</t>
  </si>
  <si>
    <t>16/05/2024 14:10:42</t>
  </si>
  <si>
    <t>460,68</t>
  </si>
  <si>
    <t>16/05/2024 14:38:33</t>
  </si>
  <si>
    <t>460,51</t>
  </si>
  <si>
    <t>16/05/2024 17:27:29</t>
  </si>
  <si>
    <t>459,45</t>
  </si>
  <si>
    <t>17/05/2024 6:44:15</t>
  </si>
  <si>
    <t>454,47</t>
  </si>
  <si>
    <t>17/05/2024 10:11:53</t>
  </si>
  <si>
    <t>453,18</t>
  </si>
  <si>
    <t>17/05/2024 11:03:34</t>
  </si>
  <si>
    <t>452,85</t>
  </si>
  <si>
    <t>17/05/2024 15:50:26</t>
  </si>
  <si>
    <t>451,06</t>
  </si>
  <si>
    <t>17/05/2024 15:53:43</t>
  </si>
  <si>
    <t>451,04</t>
  </si>
  <si>
    <t>17/05/2024 15:58:02</t>
  </si>
  <si>
    <t>451,01</t>
  </si>
  <si>
    <t>17/05/2024 17:01:48</t>
  </si>
  <si>
    <t>450,61</t>
  </si>
  <si>
    <t>17/05/2024 17:59:54</t>
  </si>
  <si>
    <t>450,25</t>
  </si>
  <si>
    <t>17/05/2024 18:34:52</t>
  </si>
  <si>
    <t>450,03</t>
  </si>
  <si>
    <t>17/05/2024 19:11:04</t>
  </si>
  <si>
    <t>449,81</t>
  </si>
  <si>
    <t>17/05/2024 20:19:42</t>
  </si>
  <si>
    <t>449,38</t>
  </si>
  <si>
    <t>17/05/2024 21:07:49</t>
  </si>
  <si>
    <t>449,08</t>
  </si>
  <si>
    <t>18/05/2024 12:01:19</t>
  </si>
  <si>
    <t>443,49</t>
  </si>
  <si>
    <t>18/05/2024 12:06:28</t>
  </si>
  <si>
    <t>443,46</t>
  </si>
  <si>
    <t>18/05/2024 12:15:15</t>
  </si>
  <si>
    <t>443,40</t>
  </si>
  <si>
    <t>18/05/2024 12:30:46</t>
  </si>
  <si>
    <t>443,31</t>
  </si>
  <si>
    <t>18/05/2024 12:33:48</t>
  </si>
  <si>
    <t>443,29</t>
  </si>
  <si>
    <t>18/05/2024 12:51:31</t>
  </si>
  <si>
    <t>443,18</t>
  </si>
  <si>
    <t>18/05/2024 12:56:56</t>
  </si>
  <si>
    <t>443,14</t>
  </si>
  <si>
    <t>18/05/2024 13:21:13</t>
  </si>
  <si>
    <t>442,99</t>
  </si>
  <si>
    <t>18/05/2024 13:35:41</t>
  </si>
  <si>
    <t>442,90</t>
  </si>
  <si>
    <t>18/05/2024 13:40:21</t>
  </si>
  <si>
    <t>442,87</t>
  </si>
  <si>
    <t>18/05/2024 13:46:01</t>
  </si>
  <si>
    <t>442,84</t>
  </si>
  <si>
    <t>18/05/2024 13:52:03</t>
  </si>
  <si>
    <t>442,80</t>
  </si>
  <si>
    <t>18/05/2024 14:35:50</t>
  </si>
  <si>
    <t>442,53</t>
  </si>
  <si>
    <t>18/05/2024 14:43:10</t>
  </si>
  <si>
    <t>442,48</t>
  </si>
  <si>
    <t>18/05/2024 16:23:47</t>
  </si>
  <si>
    <t>441,85</t>
  </si>
  <si>
    <t>18/05/2024 16:53:52</t>
  </si>
  <si>
    <t>441,66</t>
  </si>
  <si>
    <t>18/05/2024 22:04:53</t>
  </si>
  <si>
    <t>439,72</t>
  </si>
  <si>
    <t>18/05/2024 22:46:54</t>
  </si>
  <si>
    <t>439,46</t>
  </si>
  <si>
    <t>19/05/2024 6:49:50</t>
  </si>
  <si>
    <t>436,44</t>
  </si>
  <si>
    <t>19/05/2024 8:40:24</t>
  </si>
  <si>
    <t>435,75</t>
  </si>
  <si>
    <t>19/05/2024 9:52:24</t>
  </si>
  <si>
    <t>435,30</t>
  </si>
  <si>
    <t>19/05/2024 11:07:08</t>
  </si>
  <si>
    <t>434,83</t>
  </si>
  <si>
    <t>19/05/2024 12:31:22</t>
  </si>
  <si>
    <t>434,30</t>
  </si>
  <si>
    <t>19/05/2024 15:27:05</t>
  </si>
  <si>
    <t>433,21</t>
  </si>
  <si>
    <t>16/11/2023 12:06:55</t>
  </si>
  <si>
    <t>31/12/2023 12:06:55</t>
  </si>
  <si>
    <t>432,00</t>
  </si>
  <si>
    <t>17/12/2023 13:27:09</t>
  </si>
  <si>
    <t>19/05/2024 20:51:10</t>
  </si>
  <si>
    <t>431,18</t>
  </si>
  <si>
    <t>20/05/2024 10:50:31</t>
  </si>
  <si>
    <t>425,93</t>
  </si>
  <si>
    <t>20/05/2024 14:02:52</t>
  </si>
  <si>
    <t>424,73</t>
  </si>
  <si>
    <t>20/05/2024 14:06:22</t>
  </si>
  <si>
    <t>424,71</t>
  </si>
  <si>
    <t>20/05/2024 14:07:55</t>
  </si>
  <si>
    <t>424,70</t>
  </si>
  <si>
    <t>20/05/2024 14:26:43</t>
  </si>
  <si>
    <t>424,58</t>
  </si>
  <si>
    <t>20/05/2024 15:18:51</t>
  </si>
  <si>
    <t>424,26</t>
  </si>
  <si>
    <t>20/05/2024 15:21:36</t>
  </si>
  <si>
    <t>424,24</t>
  </si>
  <si>
    <t>20/05/2024 21:04:28</t>
  </si>
  <si>
    <t>422,10</t>
  </si>
  <si>
    <t>21/05/2024 8:18:22</t>
  </si>
  <si>
    <t>417,88</t>
  </si>
  <si>
    <t>18/05/2024 6:50:13</t>
  </si>
  <si>
    <t>405,00</t>
  </si>
  <si>
    <t>18/05/2024 6:39:06</t>
  </si>
  <si>
    <t>25/06/2024 10:32:40</t>
  </si>
  <si>
    <t>24/06/2024 3:45:42</t>
  </si>
  <si>
    <t>18/06/2024 16:33:10</t>
  </si>
  <si>
    <t>25/04/2024 7:35:28</t>
  </si>
  <si>
    <t>20/04/2024 20:23:26</t>
  </si>
  <si>
    <t>18/04/2024 18:09:19</t>
  </si>
  <si>
    <t>18/04/2024 18:08:12</t>
  </si>
  <si>
    <t>18/04/2024 18:05:39</t>
  </si>
  <si>
    <t>18/04/2024 18:03:48</t>
  </si>
  <si>
    <t>18/04/2024 0:18:28</t>
  </si>
  <si>
    <t>13/04/2024 11:27:54</t>
  </si>
  <si>
    <t>28/05/2024 11:27:54</t>
  </si>
  <si>
    <t>13/04/2024 11:24:11</t>
  </si>
  <si>
    <t>28/05/2024 11:24:11</t>
  </si>
  <si>
    <t>27/05/2024 16:13:08</t>
  </si>
  <si>
    <t>27/05/2024 9:42:36</t>
  </si>
  <si>
    <t>26/05/2024 11:51:12</t>
  </si>
  <si>
    <t>25/05/2024 17:14:19</t>
  </si>
  <si>
    <t>25/05/2024 14:51:31</t>
  </si>
  <si>
    <t>24/05/2024 12:50:51</t>
  </si>
  <si>
    <t>24/05/2024 12:47:56</t>
  </si>
  <si>
    <t>24/05/2024 8:59:01</t>
  </si>
  <si>
    <t>24/05/2024 7:56:37</t>
  </si>
  <si>
    <t>24/05/2024 2:22:31</t>
  </si>
  <si>
    <t>23/05/2024 22:43:10</t>
  </si>
  <si>
    <t>23/05/2024 22:34:43</t>
  </si>
  <si>
    <t>23/05/2024 21:45:31</t>
  </si>
  <si>
    <t>23/05/2024 18:06:46</t>
  </si>
  <si>
    <t>23/05/2024 17:20:14</t>
  </si>
  <si>
    <t>23/05/2024 17:19:04</t>
  </si>
  <si>
    <t>23/05/2024 17:15:10</t>
  </si>
  <si>
    <t>23/05/2024 15:54:51</t>
  </si>
  <si>
    <t>23/05/2024 15:52:47</t>
  </si>
  <si>
    <t>23/05/2024 15:52:26</t>
  </si>
  <si>
    <t>23/05/2024 15:12:51</t>
  </si>
  <si>
    <t>23/05/2024 9:50:48</t>
  </si>
  <si>
    <t>23/05/2024 9:47:17</t>
  </si>
  <si>
    <t>15/11/2023 19:58:01</t>
  </si>
  <si>
    <t>30/12/2023 19:58:01</t>
  </si>
  <si>
    <t>17/12/2023 17:00:09</t>
  </si>
  <si>
    <t>378,00</t>
  </si>
  <si>
    <t>25/01/2024 18:57:07</t>
  </si>
  <si>
    <t>324,00</t>
  </si>
  <si>
    <t>17/02/2024 23:46:08</t>
  </si>
  <si>
    <t>270,00</t>
  </si>
  <si>
    <t>22/12/2023 8:55:29</t>
  </si>
  <si>
    <t>20/12/2023 19:43:58</t>
  </si>
  <si>
    <t>20/12/2023 14:48:37</t>
  </si>
  <si>
    <t>25/01/2024 14:37:24</t>
  </si>
  <si>
    <t>25/01/2024 8:30:32</t>
  </si>
  <si>
    <t>22/01/2024 15:30:32</t>
  </si>
  <si>
    <t>21/01/2024 11:34:23</t>
  </si>
  <si>
    <t>20/01/2024 22:04:00</t>
  </si>
  <si>
    <t>19/01/2024 16:15:56</t>
  </si>
  <si>
    <t>19/01/2024 12:53:29</t>
  </si>
  <si>
    <t>18/01/2024 22:43:40</t>
  </si>
  <si>
    <t>23/11/2023 13:56:25</t>
  </si>
  <si>
    <t>21/11/2023 18:30:50</t>
  </si>
  <si>
    <t>17/12/2023 15:03:13</t>
  </si>
  <si>
    <t>17/12/2023 13:25:19</t>
  </si>
  <si>
    <t>21/10/2023 23:23:54</t>
  </si>
  <si>
    <t>22/12/2023 20:09:17</t>
  </si>
  <si>
    <t>21/01/2024 20:09:17</t>
  </si>
  <si>
    <t>90,00</t>
  </si>
  <si>
    <t>14/12/2023 19:54:43</t>
  </si>
  <si>
    <t>13/01/2024 19:54:43</t>
  </si>
  <si>
    <t>72,00</t>
  </si>
  <si>
    <t>29/12/2023 11:03:57</t>
  </si>
  <si>
    <t>28/01/2024 11:03:57</t>
  </si>
  <si>
    <t>29/12/2023 9:26:31</t>
  </si>
  <si>
    <t>28/01/2024 9:26:31</t>
  </si>
  <si>
    <t>23/12/2023 15:21:16</t>
  </si>
  <si>
    <t>22/01/2024 15:21:16</t>
  </si>
  <si>
    <t>19/12/2023 11:37:28</t>
  </si>
  <si>
    <t>18/01/2024 11:37:28</t>
  </si>
  <si>
    <t>17/12/2023 20:10:35</t>
  </si>
  <si>
    <t>16/01/2024 20:10:35</t>
  </si>
  <si>
    <t>54,00</t>
  </si>
  <si>
    <t>15/11/2023 19:40:48</t>
  </si>
  <si>
    <t>15/12/2023 19:40:48</t>
  </si>
  <si>
    <t>50,40</t>
  </si>
  <si>
    <t>22/12/2023 14:45:54</t>
  </si>
  <si>
    <t>21/01/2024 14:45:54</t>
  </si>
  <si>
    <t>36,00</t>
  </si>
  <si>
    <t>30/12/2023 5:13:20</t>
  </si>
  <si>
    <t>29/01/2024 5:13:20</t>
  </si>
  <si>
    <t>27,36</t>
  </si>
  <si>
    <t>18,00</t>
  </si>
  <si>
    <t>25/12/2023 11:39:02</t>
  </si>
  <si>
    <t>24/01/2024 11:39:02</t>
  </si>
  <si>
    <t>20/12/2023 10:24:13</t>
  </si>
  <si>
    <t>19/01/2024 10:24:13</t>
  </si>
  <si>
    <t>19/12/2023 10:41:58</t>
  </si>
  <si>
    <t>18/01/2024 10:41:58</t>
  </si>
  <si>
    <t>17/12/2023 20:01:53</t>
  </si>
  <si>
    <t>16/01/2024 20:01:53</t>
  </si>
  <si>
    <t>15/12/2023 11:41:01</t>
  </si>
  <si>
    <t>14/01/2024 11:41:01</t>
  </si>
  <si>
    <t>14/12/2023 20:24:18</t>
  </si>
  <si>
    <t>13/01/2024 20:24:18</t>
  </si>
  <si>
    <t>14/12/2023 19:04:16</t>
  </si>
  <si>
    <t>13/01/2024 19:04:16</t>
  </si>
  <si>
    <t>28/11/2023 16:43:21</t>
  </si>
  <si>
    <t>28/12/2023 16:43:21</t>
  </si>
  <si>
    <t>28/11/2023 14:41:45</t>
  </si>
  <si>
    <t>28/12/2023 14:41:45</t>
  </si>
  <si>
    <t>24/11/2023 12:57:26</t>
  </si>
  <si>
    <t>24/12/2023 12:57:26</t>
  </si>
  <si>
    <t>22/11/2023 11:18:20</t>
  </si>
  <si>
    <t>22/12/2023 11:18:20</t>
  </si>
  <si>
    <t>21/11/2023 18:29:32</t>
  </si>
  <si>
    <t>21/12/2023 18:29:32</t>
  </si>
  <si>
    <t>16/11/2023 16:50:57</t>
  </si>
  <si>
    <t>16/12/2023 16:50:57</t>
  </si>
  <si>
    <t>16/11/2023 8:52:21</t>
  </si>
  <si>
    <t>16/12/2023 8:52:21</t>
  </si>
  <si>
    <t>15/11/2023 8:24:35</t>
  </si>
  <si>
    <t>15/12/2023 8:24:35</t>
  </si>
  <si>
    <t>14/11/2023 11:36:51</t>
  </si>
  <si>
    <t>14/12/2023 11:36:51</t>
  </si>
  <si>
    <t>29/10/2023 16:31:18</t>
  </si>
  <si>
    <t>28/11/2023 16:31:18</t>
  </si>
  <si>
    <t>23/10/2023 12:29:28</t>
  </si>
  <si>
    <t>22/11/2023 12:29:28</t>
  </si>
  <si>
    <t>21/10/2023 11:37:18</t>
  </si>
  <si>
    <t>20/11/2023 11:37:18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</si>
</sst>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:ss"/>
    <numFmt numFmtId="166" formatCode="mm/d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4" max="5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>
      <c r="A2" s="1" t="s">
        <v>5</v>
      </c>
      <c r="B2" s="1">
        <v>8778292.0</v>
      </c>
      <c r="C2" s="3">
        <v>1.710756263E9</v>
      </c>
      <c r="D2" s="3">
        <v>1.741860263E9</v>
      </c>
      <c r="E2" s="1">
        <v>0.0</v>
      </c>
      <c r="F2" s="2"/>
      <c r="G2" s="2"/>
    </row>
    <row r="3">
      <c r="A3" s="1" t="s">
        <v>5</v>
      </c>
      <c r="B3" s="1">
        <v>8778303.0</v>
      </c>
      <c r="C3" s="3">
        <v>1.710756288E9</v>
      </c>
      <c r="D3" s="3">
        <v>1.741860288E9</v>
      </c>
      <c r="E3" s="1">
        <v>0.0</v>
      </c>
      <c r="F3" s="2"/>
      <c r="G3" s="2"/>
    </row>
    <row r="4">
      <c r="A4" s="1" t="s">
        <v>5</v>
      </c>
      <c r="B4" s="1">
        <v>8778312.0</v>
      </c>
      <c r="C4" s="3">
        <v>1.710756306E9</v>
      </c>
      <c r="D4" s="3">
        <v>1.741860306E9</v>
      </c>
      <c r="E4" s="1">
        <v>0.0</v>
      </c>
      <c r="F4" s="2"/>
      <c r="G4" s="2"/>
    </row>
    <row r="5">
      <c r="A5" s="1" t="s">
        <v>5</v>
      </c>
      <c r="B5" s="1">
        <v>8778325.0</v>
      </c>
      <c r="C5" s="3">
        <v>1.710756326E9</v>
      </c>
      <c r="D5" s="3">
        <v>1.741860326E9</v>
      </c>
      <c r="E5" s="1">
        <v>0.0</v>
      </c>
      <c r="F5" s="2"/>
      <c r="G5" s="2"/>
    </row>
    <row r="6">
      <c r="A6" s="1" t="s">
        <v>6</v>
      </c>
      <c r="B6" s="1">
        <v>5974012.0</v>
      </c>
      <c r="C6" s="3">
        <v>1.714390053E9</v>
      </c>
      <c r="D6" s="3">
        <v>1.776598053E9</v>
      </c>
      <c r="E6" s="1">
        <v>1000000.0</v>
      </c>
      <c r="F6" s="2"/>
      <c r="G6" s="2"/>
    </row>
    <row r="7">
      <c r="A7" s="1" t="s">
        <v>7</v>
      </c>
      <c r="B7" s="1">
        <v>6468359.0</v>
      </c>
      <c r="C7" s="3">
        <v>1.712317176E9</v>
      </c>
      <c r="D7" s="3">
        <v>1.743421176E9</v>
      </c>
      <c r="E7" s="1">
        <v>0.0</v>
      </c>
      <c r="F7" s="2"/>
      <c r="G7" s="2"/>
    </row>
    <row r="8">
      <c r="A8" s="1" t="s">
        <v>8</v>
      </c>
      <c r="B8" s="1">
        <v>4895752.0</v>
      </c>
      <c r="C8" s="3">
        <v>1.702205666E9</v>
      </c>
      <c r="D8" s="3">
        <v>1.733309666E9</v>
      </c>
      <c r="E8" s="1">
        <v>0.0</v>
      </c>
      <c r="F8" s="2"/>
      <c r="G8" s="2"/>
    </row>
    <row r="9">
      <c r="A9" s="1" t="s">
        <v>9</v>
      </c>
      <c r="B9" s="1">
        <v>2171983.0</v>
      </c>
      <c r="C9" s="3">
        <v>1.703192232E9</v>
      </c>
      <c r="D9" s="3">
        <v>1.734296232E9</v>
      </c>
      <c r="E9" s="1">
        <v>0.0</v>
      </c>
      <c r="F9" s="2"/>
      <c r="G9" s="2"/>
    </row>
    <row r="10">
      <c r="A10" s="1" t="s">
        <v>10</v>
      </c>
      <c r="B10" s="1">
        <v>3105662.0</v>
      </c>
      <c r="C10" s="3">
        <v>1.703193484E9</v>
      </c>
      <c r="D10" s="3">
        <v>1.734297484E9</v>
      </c>
      <c r="E10" s="1">
        <v>0.0</v>
      </c>
      <c r="F10" s="2"/>
      <c r="G10" s="2"/>
    </row>
    <row r="11">
      <c r="A11" s="1" t="s">
        <v>11</v>
      </c>
      <c r="B11" s="1">
        <v>3174184.0</v>
      </c>
      <c r="C11" s="3">
        <v>1.703232911E9</v>
      </c>
      <c r="D11" s="3">
        <v>1.734336911E9</v>
      </c>
      <c r="E11" s="1">
        <v>0.0</v>
      </c>
      <c r="F11" s="2"/>
      <c r="G11" s="2"/>
    </row>
    <row r="12">
      <c r="A12" s="1" t="s">
        <v>12</v>
      </c>
      <c r="B12" s="1">
        <v>3179318.0</v>
      </c>
      <c r="C12" s="3">
        <v>1.70375916E9</v>
      </c>
      <c r="D12" s="3">
        <v>1.73486316E9</v>
      </c>
      <c r="E12" s="1">
        <v>0.0</v>
      </c>
      <c r="F12" s="2"/>
      <c r="G12" s="2"/>
    </row>
    <row r="13">
      <c r="A13" s="1" t="s">
        <v>13</v>
      </c>
      <c r="B13" s="1">
        <v>3179481.0</v>
      </c>
      <c r="C13" s="3">
        <v>1.702679135E9</v>
      </c>
      <c r="D13" s="3">
        <v>1.733783135E9</v>
      </c>
      <c r="E13" s="1">
        <v>0.0</v>
      </c>
      <c r="F13" s="2"/>
      <c r="G13" s="2"/>
    </row>
    <row r="14">
      <c r="A14" s="1" t="s">
        <v>14</v>
      </c>
      <c r="B14" s="1">
        <v>1664622.0</v>
      </c>
      <c r="C14" s="3">
        <v>1.71092982E9</v>
      </c>
      <c r="D14" s="3">
        <v>1.74203382E9</v>
      </c>
      <c r="E14" s="1">
        <v>0.0</v>
      </c>
      <c r="F14" s="2"/>
      <c r="G14" s="2"/>
    </row>
    <row r="15">
      <c r="A15" s="1" t="s">
        <v>15</v>
      </c>
      <c r="B15" s="1">
        <v>2597033.0</v>
      </c>
      <c r="C15" s="3">
        <v>1.711630275E9</v>
      </c>
      <c r="D15" s="3">
        <v>1.742734275E9</v>
      </c>
      <c r="E15" s="1">
        <v>0.0</v>
      </c>
      <c r="F15" s="2"/>
      <c r="G15" s="2"/>
    </row>
    <row r="16">
      <c r="A16" s="1" t="s">
        <v>16</v>
      </c>
      <c r="B16" s="1">
        <v>551224.0</v>
      </c>
      <c r="C16" s="3">
        <v>1.697932951E9</v>
      </c>
      <c r="D16" s="3">
        <v>1.721260951E9</v>
      </c>
      <c r="E16" s="1">
        <v>0.0</v>
      </c>
      <c r="F16" s="2"/>
      <c r="G16" s="2"/>
    </row>
    <row r="17">
      <c r="A17" s="1" t="s">
        <v>17</v>
      </c>
      <c r="B17" s="1">
        <v>799469.0</v>
      </c>
      <c r="C17" s="3">
        <v>1.699382789E9</v>
      </c>
      <c r="D17" s="3">
        <v>1.722710789E9</v>
      </c>
      <c r="E17" s="1">
        <v>0.0</v>
      </c>
      <c r="F17" s="2"/>
      <c r="G17" s="2"/>
    </row>
    <row r="18">
      <c r="A18" s="1" t="s">
        <v>18</v>
      </c>
      <c r="B18" s="1">
        <v>799493.0</v>
      </c>
      <c r="C18" s="3">
        <v>1.709667351E9</v>
      </c>
      <c r="D18" s="3">
        <v>1.732995351E9</v>
      </c>
      <c r="E18" s="1">
        <v>0.0</v>
      </c>
      <c r="F18" s="2"/>
      <c r="G18" s="2"/>
    </row>
    <row r="19">
      <c r="A19" s="1" t="s">
        <v>18</v>
      </c>
      <c r="B19" s="1">
        <v>799547.0</v>
      </c>
      <c r="C19" s="3">
        <v>1.709668383E9</v>
      </c>
      <c r="D19" s="3">
        <v>1.732996383E9</v>
      </c>
      <c r="E19" s="1">
        <v>0.0</v>
      </c>
      <c r="F19" s="2"/>
      <c r="G19" s="2"/>
    </row>
    <row r="20">
      <c r="A20" s="1" t="s">
        <v>19</v>
      </c>
      <c r="B20" s="1">
        <v>1265986.0</v>
      </c>
      <c r="C20" s="3">
        <v>1.709668842E9</v>
      </c>
      <c r="D20" s="3">
        <v>1.732996842E9</v>
      </c>
      <c r="E20" s="1">
        <v>0.0</v>
      </c>
      <c r="F20" s="2"/>
      <c r="G20" s="2"/>
    </row>
    <row r="21">
      <c r="A21" s="1" t="s">
        <v>20</v>
      </c>
      <c r="B21" s="1">
        <v>1316328.0</v>
      </c>
      <c r="C21" s="3">
        <v>1.718275057E9</v>
      </c>
      <c r="D21" s="3">
        <v>1.741603057E9</v>
      </c>
      <c r="E21" s="1">
        <v>0.0</v>
      </c>
      <c r="F21" s="2"/>
      <c r="G21" s="2"/>
    </row>
    <row r="22">
      <c r="A22" s="1" t="s">
        <v>21</v>
      </c>
      <c r="B22" s="1">
        <v>507256.0</v>
      </c>
      <c r="C22" s="3">
        <v>1.698700346E9</v>
      </c>
      <c r="D22" s="3">
        <v>1.714252346E9</v>
      </c>
      <c r="E22" s="1">
        <v>0.0</v>
      </c>
      <c r="F22" s="2"/>
      <c r="G22" s="2"/>
    </row>
    <row r="23">
      <c r="A23" s="1" t="s">
        <v>22</v>
      </c>
      <c r="B23" s="1">
        <v>376157.0</v>
      </c>
      <c r="C23" s="3">
        <v>1.703718915E9</v>
      </c>
      <c r="D23" s="3">
        <v>1.719270915E9</v>
      </c>
      <c r="E23" s="1">
        <v>0.0</v>
      </c>
      <c r="F23" s="2"/>
      <c r="G23" s="2"/>
    </row>
    <row r="24">
      <c r="A24" s="1" t="s">
        <v>23</v>
      </c>
      <c r="B24" s="1">
        <v>377333.0</v>
      </c>
      <c r="C24" s="3">
        <v>1.70362029E9</v>
      </c>
      <c r="D24" s="3">
        <v>1.71917229E9</v>
      </c>
      <c r="E24" s="1">
        <v>0.0</v>
      </c>
      <c r="F24" s="2"/>
      <c r="G24" s="2"/>
    </row>
    <row r="25">
      <c r="A25" s="1" t="s">
        <v>24</v>
      </c>
      <c r="B25" s="1">
        <v>377570.0</v>
      </c>
      <c r="C25" s="3">
        <v>1.704061054E9</v>
      </c>
      <c r="D25" s="3">
        <v>1.719613054E9</v>
      </c>
      <c r="E25" s="1">
        <v>0.0</v>
      </c>
      <c r="F25" s="2"/>
      <c r="G25" s="2"/>
    </row>
    <row r="26">
      <c r="A26" s="1" t="s">
        <v>24</v>
      </c>
      <c r="B26" s="1">
        <v>226919.0</v>
      </c>
      <c r="C26" s="3">
        <v>1.704238307E9</v>
      </c>
      <c r="D26" s="3">
        <v>1.719790307E9</v>
      </c>
      <c r="E26" s="1">
        <v>0.0</v>
      </c>
      <c r="F26" s="2"/>
      <c r="G26" s="2"/>
    </row>
    <row r="27">
      <c r="A27" s="1" t="s">
        <v>25</v>
      </c>
      <c r="B27" s="1">
        <v>326695.0</v>
      </c>
      <c r="C27" s="3">
        <v>1.714305434E9</v>
      </c>
      <c r="D27" s="3">
        <v>1.745409434E9</v>
      </c>
      <c r="E27" s="1">
        <v>0.0</v>
      </c>
      <c r="F27" s="2"/>
      <c r="G27" s="2"/>
    </row>
    <row r="28">
      <c r="A28" s="1" t="s">
        <v>26</v>
      </c>
      <c r="B28" s="1">
        <v>416773.0</v>
      </c>
      <c r="C28" s="3">
        <v>1.714332751E9</v>
      </c>
      <c r="D28" s="3">
        <v>1.745436751E9</v>
      </c>
      <c r="E28" s="1">
        <v>0.0</v>
      </c>
      <c r="F28" s="2"/>
      <c r="G28" s="2"/>
    </row>
    <row r="29">
      <c r="A29" s="1" t="s">
        <v>27</v>
      </c>
      <c r="B29" s="1">
        <v>424425.0</v>
      </c>
      <c r="C29" s="3">
        <v>1.71446828E9</v>
      </c>
      <c r="D29" s="3">
        <v>1.74557228E9</v>
      </c>
      <c r="E29" s="1">
        <v>0.0</v>
      </c>
      <c r="F29" s="2"/>
      <c r="G29" s="2"/>
    </row>
    <row r="30">
      <c r="A30" s="1" t="s">
        <v>28</v>
      </c>
      <c r="B30" s="1">
        <v>509841.0</v>
      </c>
      <c r="C30" s="3">
        <v>1.700035267E9</v>
      </c>
      <c r="D30" s="3">
        <v>1.712995267E9</v>
      </c>
      <c r="E30" s="1">
        <v>0.0</v>
      </c>
      <c r="F30" s="2"/>
      <c r="G30" s="2"/>
    </row>
    <row r="31">
      <c r="A31" s="1" t="s">
        <v>29</v>
      </c>
      <c r="B31" s="1">
        <v>413696.0</v>
      </c>
      <c r="C31" s="3">
        <v>1.709249583E9</v>
      </c>
      <c r="D31" s="3">
        <v>1.724801583E9</v>
      </c>
      <c r="E31" s="1">
        <v>0.0</v>
      </c>
      <c r="F31" s="2"/>
      <c r="G31" s="2"/>
    </row>
    <row r="32">
      <c r="A32" s="1" t="s">
        <v>30</v>
      </c>
      <c r="B32" s="1">
        <v>353332.0</v>
      </c>
      <c r="C32" s="3">
        <v>1.72101521E9</v>
      </c>
      <c r="D32" s="3">
        <v>1.75211921E9</v>
      </c>
      <c r="E32" s="1">
        <v>0.0</v>
      </c>
      <c r="F32" s="2"/>
      <c r="G32" s="2"/>
    </row>
    <row r="33">
      <c r="A33" s="1" t="s">
        <v>31</v>
      </c>
      <c r="B33" s="1">
        <v>135000.0</v>
      </c>
      <c r="C33" s="3">
        <v>1.697912824E9</v>
      </c>
      <c r="D33" s="3">
        <v>1.710872824E9</v>
      </c>
      <c r="E33" s="1">
        <v>0.0</v>
      </c>
      <c r="F33" s="2"/>
      <c r="G33" s="2"/>
    </row>
    <row r="34">
      <c r="A34" s="1" t="s">
        <v>32</v>
      </c>
      <c r="B34" s="1">
        <v>135000.0</v>
      </c>
      <c r="C34" s="3">
        <v>1.700238722E9</v>
      </c>
      <c r="D34" s="3">
        <v>1.713198722E9</v>
      </c>
      <c r="E34" s="1">
        <v>0.0</v>
      </c>
      <c r="F34" s="2"/>
      <c r="G34" s="2"/>
    </row>
    <row r="35">
      <c r="A35" s="1" t="s">
        <v>33</v>
      </c>
      <c r="B35" s="1">
        <v>135000.0</v>
      </c>
      <c r="C35" s="3">
        <v>1.702210312E9</v>
      </c>
      <c r="D35" s="3">
        <v>1.715170312E9</v>
      </c>
      <c r="E35" s="1">
        <v>0.0</v>
      </c>
      <c r="F35" s="2"/>
      <c r="G35" s="2"/>
    </row>
    <row r="36">
      <c r="A36" s="1" t="s">
        <v>34</v>
      </c>
      <c r="B36" s="1">
        <v>136910.0</v>
      </c>
      <c r="C36" s="3">
        <v>1.701452816E9</v>
      </c>
      <c r="D36" s="3">
        <v>1.714412816E9</v>
      </c>
      <c r="E36" s="1">
        <v>0.0</v>
      </c>
      <c r="F36" s="2"/>
      <c r="G36" s="2"/>
    </row>
    <row r="37">
      <c r="A37" s="1" t="s">
        <v>35</v>
      </c>
      <c r="B37" s="1">
        <v>46800.0</v>
      </c>
      <c r="C37" s="3">
        <v>1.701964238E9</v>
      </c>
      <c r="D37" s="3">
        <v>1.714924238E9</v>
      </c>
      <c r="E37" s="1">
        <v>0.0</v>
      </c>
      <c r="F37" s="2"/>
      <c r="G37" s="2"/>
    </row>
    <row r="38">
      <c r="A38" s="1" t="s">
        <v>36</v>
      </c>
      <c r="B38" s="1">
        <v>46848.0</v>
      </c>
      <c r="C38" s="3">
        <v>1.702146567E9</v>
      </c>
      <c r="D38" s="3">
        <v>1.715106567E9</v>
      </c>
      <c r="E38" s="1">
        <v>0.0</v>
      </c>
      <c r="F38" s="2"/>
      <c r="G38" s="2"/>
    </row>
    <row r="39">
      <c r="A39" s="1" t="s">
        <v>37</v>
      </c>
      <c r="B39" s="1">
        <v>47002.0</v>
      </c>
      <c r="C39" s="3">
        <v>1.702303499E9</v>
      </c>
      <c r="D39" s="3">
        <v>1.715263499E9</v>
      </c>
      <c r="E39" s="1">
        <v>0.0</v>
      </c>
      <c r="F39" s="2"/>
      <c r="G39" s="2"/>
    </row>
    <row r="40">
      <c r="A40" s="1" t="s">
        <v>38</v>
      </c>
      <c r="B40" s="1">
        <v>47297.0</v>
      </c>
      <c r="C40" s="3">
        <v>1.702308145E9</v>
      </c>
      <c r="D40" s="3">
        <v>1.715268145E9</v>
      </c>
      <c r="E40" s="1">
        <v>0.0</v>
      </c>
      <c r="F40" s="2"/>
      <c r="G40" s="2"/>
    </row>
    <row r="41">
      <c r="A41" s="1" t="s">
        <v>39</v>
      </c>
      <c r="B41" s="1">
        <v>47310.0</v>
      </c>
      <c r="C41" s="3">
        <v>1.703185774E9</v>
      </c>
      <c r="D41" s="3">
        <v>1.716145774E9</v>
      </c>
      <c r="E41" s="1">
        <v>0.0</v>
      </c>
      <c r="F41" s="2"/>
      <c r="G41" s="2"/>
    </row>
    <row r="42">
      <c r="A42" s="1" t="s">
        <v>40</v>
      </c>
      <c r="B42" s="1">
        <v>47368.0</v>
      </c>
      <c r="C42" s="3">
        <v>1.716108481E9</v>
      </c>
      <c r="D42" s="3">
        <v>1.731660481E9</v>
      </c>
      <c r="E42" s="1">
        <v>0.0</v>
      </c>
      <c r="F42" s="2"/>
      <c r="G42" s="2"/>
    </row>
    <row r="43">
      <c r="A43" s="1" t="s">
        <v>41</v>
      </c>
      <c r="B43" s="1">
        <v>47378.0</v>
      </c>
      <c r="C43" s="3">
        <v>1.704046198E9</v>
      </c>
      <c r="D43" s="3">
        <v>1.717006198E9</v>
      </c>
      <c r="E43" s="1">
        <v>0.0</v>
      </c>
      <c r="F43" s="2"/>
      <c r="G43" s="2"/>
    </row>
    <row r="44">
      <c r="A44" s="1" t="s">
        <v>42</v>
      </c>
      <c r="B44" s="1">
        <v>47381.0</v>
      </c>
      <c r="C44" s="3">
        <v>1.704062418E9</v>
      </c>
      <c r="D44" s="3">
        <v>1.717022418E9</v>
      </c>
      <c r="E44" s="1">
        <v>0.0</v>
      </c>
      <c r="F44" s="2"/>
      <c r="G44" s="2"/>
    </row>
    <row r="45">
      <c r="A45" s="1" t="s">
        <v>43</v>
      </c>
      <c r="B45" s="1">
        <v>47477.0</v>
      </c>
      <c r="C45" s="3">
        <v>1.712331826E9</v>
      </c>
      <c r="D45" s="3">
        <v>1.725291826E9</v>
      </c>
      <c r="E45" s="1">
        <v>0.0</v>
      </c>
      <c r="F45" s="2"/>
      <c r="G45" s="2"/>
    </row>
    <row r="46">
      <c r="A46" s="1" t="s">
        <v>44</v>
      </c>
      <c r="B46" s="1">
        <v>52687.0</v>
      </c>
      <c r="C46" s="3">
        <v>1.713720083E9</v>
      </c>
      <c r="D46" s="3">
        <v>1.726680083E9</v>
      </c>
      <c r="E46" s="1">
        <v>0.0</v>
      </c>
      <c r="F46" s="2"/>
      <c r="G46" s="2"/>
    </row>
    <row r="47">
      <c r="A47" s="1" t="s">
        <v>45</v>
      </c>
      <c r="B47" s="1">
        <v>54637.0</v>
      </c>
      <c r="C47" s="3">
        <v>1.712580689E9</v>
      </c>
      <c r="D47" s="3">
        <v>1.725540689E9</v>
      </c>
      <c r="E47" s="1">
        <v>0.0</v>
      </c>
      <c r="F47" s="2"/>
      <c r="G47" s="2"/>
    </row>
    <row r="48">
      <c r="A48" s="1" t="s">
        <v>46</v>
      </c>
      <c r="B48" s="1">
        <v>73010.0</v>
      </c>
      <c r="C48" s="3">
        <v>1.712580469E9</v>
      </c>
      <c r="D48" s="3">
        <v>1.725540469E9</v>
      </c>
      <c r="E48" s="1">
        <v>0.0</v>
      </c>
      <c r="F48" s="2"/>
      <c r="G48" s="2"/>
    </row>
    <row r="49">
      <c r="A49" s="1" t="s">
        <v>47</v>
      </c>
      <c r="B49" s="1">
        <v>75146.0</v>
      </c>
      <c r="C49" s="3">
        <v>1.713734018E9</v>
      </c>
      <c r="D49" s="3">
        <v>1.744838018E9</v>
      </c>
      <c r="E49" s="1">
        <v>0.0</v>
      </c>
      <c r="F49" s="2"/>
      <c r="G49" s="2"/>
    </row>
    <row r="50">
      <c r="A50" s="1" t="s">
        <v>22</v>
      </c>
      <c r="B50" s="1">
        <v>75232.0</v>
      </c>
      <c r="C50" s="3">
        <v>1.713734965E9</v>
      </c>
      <c r="D50" s="3">
        <v>1.744838965E9</v>
      </c>
      <c r="E50" s="1">
        <v>0.0</v>
      </c>
      <c r="F50" s="2"/>
      <c r="G50" s="2"/>
    </row>
    <row r="51">
      <c r="A51" s="1" t="s">
        <v>48</v>
      </c>
      <c r="B51" s="1">
        <v>75617.0</v>
      </c>
      <c r="C51" s="3">
        <v>1.713735448E9</v>
      </c>
      <c r="D51" s="3">
        <v>1.744839448E9</v>
      </c>
      <c r="E51" s="1">
        <v>0.0</v>
      </c>
      <c r="F51" s="2"/>
      <c r="G51" s="2"/>
    </row>
    <row r="52">
      <c r="A52" s="1" t="s">
        <v>49</v>
      </c>
      <c r="B52" s="1">
        <v>75673.0</v>
      </c>
      <c r="C52" s="3">
        <v>1.71373927E9</v>
      </c>
      <c r="D52" s="3">
        <v>1.74484327E9</v>
      </c>
      <c r="E52" s="1">
        <v>0.0</v>
      </c>
      <c r="F52" s="2"/>
      <c r="G52" s="2"/>
    </row>
    <row r="53">
      <c r="A53" s="1" t="s">
        <v>50</v>
      </c>
      <c r="B53" s="1">
        <v>75784.0</v>
      </c>
      <c r="C53" s="3">
        <v>1.713908917E9</v>
      </c>
      <c r="D53" s="3">
        <v>1.745012917E9</v>
      </c>
      <c r="E53" s="1">
        <v>0.0</v>
      </c>
      <c r="F53" s="2"/>
      <c r="G53" s="2"/>
    </row>
    <row r="54">
      <c r="A54" s="1" t="s">
        <v>51</v>
      </c>
      <c r="B54" s="1">
        <v>75830.0</v>
      </c>
      <c r="C54" s="3">
        <v>1.713974001E9</v>
      </c>
      <c r="D54" s="3">
        <v>1.745078001E9</v>
      </c>
      <c r="E54" s="1">
        <v>0.0</v>
      </c>
      <c r="F54" s="2"/>
      <c r="G54" s="2"/>
    </row>
    <row r="55">
      <c r="A55" s="1" t="s">
        <v>52</v>
      </c>
      <c r="B55" s="1">
        <v>75891.0</v>
      </c>
      <c r="C55" s="3">
        <v>1.71404047E9</v>
      </c>
      <c r="D55" s="3">
        <v>1.74514447E9</v>
      </c>
      <c r="E55" s="1">
        <v>0.0</v>
      </c>
      <c r="F55" s="2"/>
      <c r="G55" s="2"/>
    </row>
    <row r="56">
      <c r="A56" s="1" t="s">
        <v>53</v>
      </c>
      <c r="B56" s="1">
        <v>75893.0</v>
      </c>
      <c r="C56" s="3">
        <v>1.714042124E9</v>
      </c>
      <c r="D56" s="3">
        <v>1.745146124E9</v>
      </c>
      <c r="E56" s="1">
        <v>0.0</v>
      </c>
      <c r="F56" s="2"/>
      <c r="G56" s="2"/>
    </row>
    <row r="57">
      <c r="A57" s="1" t="s">
        <v>54</v>
      </c>
      <c r="B57" s="1">
        <v>75905.0</v>
      </c>
      <c r="C57" s="3">
        <v>1.714044836E9</v>
      </c>
      <c r="D57" s="3">
        <v>1.745148836E9</v>
      </c>
      <c r="E57" s="1">
        <v>0.0</v>
      </c>
      <c r="F57" s="2"/>
      <c r="G57" s="2"/>
    </row>
    <row r="58">
      <c r="A58" s="1" t="s">
        <v>55</v>
      </c>
      <c r="B58" s="1">
        <v>75912.0</v>
      </c>
      <c r="C58" s="3">
        <v>1.714044956E9</v>
      </c>
      <c r="D58" s="3">
        <v>1.745148956E9</v>
      </c>
      <c r="E58" s="1">
        <v>0.0</v>
      </c>
      <c r="F58" s="2"/>
      <c r="G58" s="2"/>
    </row>
    <row r="59">
      <c r="A59" s="1" t="s">
        <v>56</v>
      </c>
      <c r="B59" s="1">
        <v>75938.0</v>
      </c>
      <c r="C59" s="3">
        <v>1.714046784E9</v>
      </c>
      <c r="D59" s="3">
        <v>1.745150784E9</v>
      </c>
      <c r="E59" s="1">
        <v>0.0</v>
      </c>
      <c r="F59" s="2"/>
      <c r="G59" s="2"/>
    </row>
    <row r="60">
      <c r="A60" s="1" t="s">
        <v>57</v>
      </c>
      <c r="B60" s="1">
        <v>75950.0</v>
      </c>
      <c r="C60" s="3">
        <v>1.7140491E9</v>
      </c>
      <c r="D60" s="3">
        <v>1.7451531E9</v>
      </c>
      <c r="E60" s="1">
        <v>0.0</v>
      </c>
      <c r="F60" s="2"/>
      <c r="G60" s="2"/>
    </row>
    <row r="61">
      <c r="A61" s="1" t="s">
        <v>58</v>
      </c>
      <c r="B61" s="1">
        <v>75954.0</v>
      </c>
      <c r="C61" s="3">
        <v>1.714049967E9</v>
      </c>
      <c r="D61" s="3">
        <v>1.745153967E9</v>
      </c>
      <c r="E61" s="1">
        <v>0.0</v>
      </c>
      <c r="F61" s="2"/>
      <c r="G61" s="2"/>
    </row>
    <row r="62">
      <c r="A62" s="1" t="s">
        <v>59</v>
      </c>
      <c r="B62" s="1">
        <v>75958.0</v>
      </c>
      <c r="C62" s="3">
        <v>1.714052103E9</v>
      </c>
      <c r="D62" s="3">
        <v>1.745156103E9</v>
      </c>
      <c r="E62" s="1">
        <v>0.0</v>
      </c>
      <c r="F62" s="2"/>
      <c r="G62" s="2"/>
    </row>
    <row r="63">
      <c r="A63" s="1" t="s">
        <v>60</v>
      </c>
      <c r="B63" s="1">
        <v>75959.0</v>
      </c>
      <c r="C63" s="3">
        <v>1.714054106E9</v>
      </c>
      <c r="D63" s="3">
        <v>1.745158106E9</v>
      </c>
      <c r="E63" s="1">
        <v>0.0</v>
      </c>
      <c r="F63" s="2"/>
      <c r="G63" s="2"/>
    </row>
    <row r="64">
      <c r="A64" s="1" t="s">
        <v>61</v>
      </c>
      <c r="B64" s="1">
        <v>75963.0</v>
      </c>
      <c r="C64" s="3">
        <v>1.714061232E9</v>
      </c>
      <c r="D64" s="3">
        <v>1.745165232E9</v>
      </c>
      <c r="E64" s="1">
        <v>0.0</v>
      </c>
      <c r="F64" s="2"/>
      <c r="G64" s="2"/>
    </row>
    <row r="65">
      <c r="A65" s="1" t="s">
        <v>62</v>
      </c>
      <c r="B65" s="1">
        <v>75966.0</v>
      </c>
      <c r="C65" s="3">
        <v>1.714076516E9</v>
      </c>
      <c r="D65" s="3">
        <v>1.745180516E9</v>
      </c>
      <c r="E65" s="1">
        <v>0.0</v>
      </c>
      <c r="F65" s="2"/>
      <c r="G65" s="2"/>
    </row>
    <row r="66">
      <c r="A66" s="1" t="s">
        <v>63</v>
      </c>
      <c r="B66" s="1">
        <v>75967.0</v>
      </c>
      <c r="C66" s="3">
        <v>1.714080417E9</v>
      </c>
      <c r="D66" s="3">
        <v>1.745184417E9</v>
      </c>
      <c r="E66" s="1">
        <v>0.0</v>
      </c>
      <c r="F66" s="2"/>
      <c r="G66" s="2"/>
    </row>
    <row r="67">
      <c r="A67" s="1" t="s">
        <v>64</v>
      </c>
      <c r="B67" s="1">
        <v>75971.0</v>
      </c>
      <c r="C67" s="3">
        <v>1.714087258E9</v>
      </c>
      <c r="D67" s="3">
        <v>1.745191258E9</v>
      </c>
      <c r="E67" s="1">
        <v>0.0</v>
      </c>
      <c r="F67" s="2"/>
      <c r="G67" s="2"/>
    </row>
    <row r="68">
      <c r="A68" s="1" t="s">
        <v>65</v>
      </c>
      <c r="B68" s="1">
        <v>75974.0</v>
      </c>
      <c r="C68" s="3">
        <v>1.714088349E9</v>
      </c>
      <c r="D68" s="3">
        <v>1.745192349E9</v>
      </c>
      <c r="E68" s="1">
        <v>0.0</v>
      </c>
      <c r="F68" s="2"/>
      <c r="G68" s="2"/>
    </row>
    <row r="69">
      <c r="A69" s="1" t="s">
        <v>66</v>
      </c>
      <c r="B69" s="1">
        <v>76089.0</v>
      </c>
      <c r="C69" s="3">
        <v>1.714123637E9</v>
      </c>
      <c r="D69" s="3">
        <v>1.745227637E9</v>
      </c>
      <c r="E69" s="1">
        <v>0.0</v>
      </c>
      <c r="F69" s="2"/>
      <c r="G69" s="2"/>
    </row>
    <row r="70">
      <c r="A70" s="1" t="s">
        <v>67</v>
      </c>
      <c r="B70" s="1">
        <v>76202.0</v>
      </c>
      <c r="C70" s="3">
        <v>1.71415024E9</v>
      </c>
      <c r="D70" s="3">
        <v>1.74525424E9</v>
      </c>
      <c r="E70" s="1">
        <v>0.0</v>
      </c>
      <c r="F70" s="2"/>
      <c r="G70" s="2"/>
    </row>
    <row r="71">
      <c r="A71" s="1" t="s">
        <v>68</v>
      </c>
      <c r="B71" s="1">
        <v>76497.0</v>
      </c>
      <c r="C71" s="3">
        <v>1.71421415E9</v>
      </c>
      <c r="D71" s="3">
        <v>1.74531815E9</v>
      </c>
      <c r="E71" s="1">
        <v>0.0</v>
      </c>
      <c r="F71" s="2"/>
      <c r="G71" s="2"/>
    </row>
    <row r="72">
      <c r="A72" s="1" t="s">
        <v>69</v>
      </c>
      <c r="B72" s="1">
        <v>76504.0</v>
      </c>
      <c r="C72" s="3">
        <v>1.714246378E9</v>
      </c>
      <c r="D72" s="3">
        <v>1.745350378E9</v>
      </c>
      <c r="E72" s="1">
        <v>0.0</v>
      </c>
      <c r="F72" s="2"/>
      <c r="G72" s="2"/>
    </row>
    <row r="73">
      <c r="A73" s="1" t="s">
        <v>70</v>
      </c>
      <c r="B73" s="1">
        <v>76504.0</v>
      </c>
      <c r="C73" s="3">
        <v>1.714468191E9</v>
      </c>
      <c r="D73" s="3">
        <v>1.745572191E9</v>
      </c>
      <c r="E73" s="1">
        <v>0.0</v>
      </c>
      <c r="F73" s="2"/>
      <c r="G73" s="2"/>
    </row>
    <row r="74">
      <c r="A74" s="1" t="s">
        <v>71</v>
      </c>
      <c r="B74" s="1">
        <v>76506.0</v>
      </c>
      <c r="C74" s="3">
        <v>1.714517712E9</v>
      </c>
      <c r="D74" s="3">
        <v>1.745621712E9</v>
      </c>
      <c r="E74" s="1">
        <v>0.0</v>
      </c>
      <c r="F74" s="2"/>
      <c r="G74" s="2"/>
    </row>
    <row r="75">
      <c r="A75" s="1" t="s">
        <v>72</v>
      </c>
      <c r="B75" s="1">
        <v>34391.0</v>
      </c>
      <c r="C75" s="3">
        <v>1.715747559E9</v>
      </c>
      <c r="D75" s="3">
        <v>1.746851559E9</v>
      </c>
      <c r="E75" s="1">
        <v>0.0</v>
      </c>
      <c r="F75" s="2"/>
      <c r="G75" s="2"/>
    </row>
    <row r="76">
      <c r="A76" s="1" t="s">
        <v>72</v>
      </c>
      <c r="B76" s="1">
        <v>34391.0</v>
      </c>
      <c r="C76" s="3">
        <v>1.701730267E9</v>
      </c>
      <c r="D76" s="3">
        <v>1.712098267E9</v>
      </c>
      <c r="E76" s="1">
        <v>0.0</v>
      </c>
      <c r="F76" s="2"/>
      <c r="G76" s="2"/>
    </row>
    <row r="77">
      <c r="A77" s="1" t="s">
        <v>73</v>
      </c>
      <c r="B77" s="1">
        <v>32614.0</v>
      </c>
      <c r="C77" s="3">
        <v>1.697990763E9</v>
      </c>
      <c r="D77" s="3">
        <v>1.708358763E9</v>
      </c>
      <c r="E77" s="1">
        <v>0.0</v>
      </c>
      <c r="F77" s="2"/>
      <c r="G77" s="2"/>
    </row>
    <row r="78">
      <c r="A78" s="1" t="s">
        <v>74</v>
      </c>
      <c r="B78" s="1">
        <v>34385.0</v>
      </c>
      <c r="C78" s="3">
        <v>1.697929629E9</v>
      </c>
      <c r="D78" s="3">
        <v>1.708297629E9</v>
      </c>
      <c r="E78" s="1">
        <v>0.0</v>
      </c>
      <c r="F78" s="2"/>
      <c r="G78" s="2"/>
    </row>
    <row r="79">
      <c r="A79" s="1" t="s">
        <v>75</v>
      </c>
      <c r="B79" s="1">
        <v>36000.0</v>
      </c>
      <c r="C79" s="3">
        <v>1.70316571E9</v>
      </c>
      <c r="D79" s="3">
        <v>1.71353371E9</v>
      </c>
      <c r="E79" s="1">
        <v>0.0</v>
      </c>
      <c r="F79" s="2"/>
      <c r="G79" s="2"/>
    </row>
    <row r="80">
      <c r="A80" s="1" t="s">
        <v>76</v>
      </c>
      <c r="B80" s="1">
        <v>36000.0</v>
      </c>
      <c r="C80" s="3">
        <v>1.703165841E9</v>
      </c>
      <c r="D80" s="3">
        <v>1.713533841E9</v>
      </c>
      <c r="E80" s="1">
        <v>0.0</v>
      </c>
      <c r="F80" s="2"/>
      <c r="G80" s="2"/>
    </row>
    <row r="81">
      <c r="A81" s="1" t="s">
        <v>77</v>
      </c>
      <c r="B81" s="1">
        <v>36000.0</v>
      </c>
      <c r="C81" s="3">
        <v>1.703781134E9</v>
      </c>
      <c r="D81" s="3">
        <v>1.714149134E9</v>
      </c>
      <c r="E81" s="1">
        <v>0.0</v>
      </c>
      <c r="F81" s="2"/>
      <c r="G81" s="2"/>
    </row>
    <row r="82">
      <c r="A82" s="1" t="s">
        <v>77</v>
      </c>
      <c r="B82" s="1">
        <v>36000.0</v>
      </c>
      <c r="C82" s="3">
        <v>1.703872891E9</v>
      </c>
      <c r="D82" s="3">
        <v>1.714240891E9</v>
      </c>
      <c r="E82" s="1">
        <v>0.0</v>
      </c>
      <c r="F82" s="2"/>
      <c r="G82" s="2"/>
    </row>
    <row r="83">
      <c r="A83" s="1" t="s">
        <v>77</v>
      </c>
      <c r="B83" s="1">
        <v>36000.0</v>
      </c>
      <c r="C83" s="3">
        <v>1.714299037E9</v>
      </c>
      <c r="D83" s="3">
        <v>1.735035037E9</v>
      </c>
      <c r="E83" s="1">
        <v>0.0</v>
      </c>
      <c r="F83" s="2"/>
      <c r="G83" s="2"/>
    </row>
    <row r="84">
      <c r="A84" s="1" t="s">
        <v>78</v>
      </c>
      <c r="B84" s="1">
        <v>55321.0</v>
      </c>
      <c r="C84" s="3">
        <v>1.714299076E9</v>
      </c>
      <c r="D84" s="3">
        <v>1.735035076E9</v>
      </c>
      <c r="E84" s="1">
        <v>0.0</v>
      </c>
      <c r="F84" s="2"/>
      <c r="G84" s="2"/>
    </row>
    <row r="85">
      <c r="A85" s="1" t="s">
        <v>78</v>
      </c>
      <c r="B85" s="1">
        <v>55321.0</v>
      </c>
      <c r="C85" s="3">
        <v>1.714300445E9</v>
      </c>
      <c r="D85" s="3">
        <v>1.735036445E9</v>
      </c>
      <c r="E85" s="1">
        <v>0.0</v>
      </c>
      <c r="F85" s="2"/>
      <c r="G85" s="2"/>
    </row>
    <row r="86">
      <c r="A86" s="1" t="s">
        <v>78</v>
      </c>
      <c r="B86" s="1">
        <v>36000.0</v>
      </c>
      <c r="C86" s="3">
        <v>1.714301404E9</v>
      </c>
      <c r="D86" s="3">
        <v>1.735037404E9</v>
      </c>
      <c r="E86" s="1">
        <v>0.0</v>
      </c>
      <c r="F86" s="2"/>
      <c r="G86" s="2"/>
    </row>
    <row r="87">
      <c r="A87" s="1" t="s">
        <v>78</v>
      </c>
      <c r="B87" s="1">
        <v>36000.0</v>
      </c>
      <c r="C87" s="3">
        <v>1.714302733E9</v>
      </c>
      <c r="D87" s="3">
        <v>1.735038733E9</v>
      </c>
      <c r="E87" s="1">
        <v>0.0</v>
      </c>
      <c r="F87" s="2"/>
      <c r="G87" s="2"/>
    </row>
    <row r="88">
      <c r="A88" s="1" t="s">
        <v>78</v>
      </c>
      <c r="B88" s="1">
        <v>36000.0</v>
      </c>
      <c r="C88" s="3">
        <v>1.714304816E9</v>
      </c>
      <c r="D88" s="3">
        <v>1.735040816E9</v>
      </c>
      <c r="E88" s="1">
        <v>0.0</v>
      </c>
      <c r="F88" s="2"/>
      <c r="G88" s="2"/>
    </row>
    <row r="89">
      <c r="A89" s="1" t="s">
        <v>79</v>
      </c>
      <c r="B89" s="1">
        <v>36000.0</v>
      </c>
      <c r="C89" s="3">
        <v>1.714307236E9</v>
      </c>
      <c r="D89" s="3">
        <v>1.735043236E9</v>
      </c>
      <c r="E89" s="1">
        <v>0.0</v>
      </c>
      <c r="F89" s="2"/>
      <c r="G89" s="2"/>
    </row>
    <row r="90">
      <c r="A90" s="1" t="s">
        <v>80</v>
      </c>
      <c r="B90" s="1">
        <v>36000.0</v>
      </c>
      <c r="C90" s="3">
        <v>1.714312133E9</v>
      </c>
      <c r="D90" s="3">
        <v>1.735048133E9</v>
      </c>
      <c r="E90" s="1">
        <v>0.0</v>
      </c>
      <c r="F90" s="2"/>
      <c r="G90" s="2"/>
    </row>
    <row r="91">
      <c r="A91" s="1" t="s">
        <v>81</v>
      </c>
      <c r="B91" s="1">
        <v>36000.0</v>
      </c>
      <c r="C91" s="3">
        <v>1.71431419E9</v>
      </c>
      <c r="D91" s="3">
        <v>1.73505019E9</v>
      </c>
      <c r="E91" s="1">
        <v>0.0</v>
      </c>
      <c r="F91" s="2"/>
      <c r="G91" s="2"/>
    </row>
    <row r="92">
      <c r="A92" s="1" t="s">
        <v>82</v>
      </c>
      <c r="B92" s="1">
        <v>36000.0</v>
      </c>
      <c r="C92" s="3">
        <v>1.714315985E9</v>
      </c>
      <c r="D92" s="3">
        <v>1.735051985E9</v>
      </c>
      <c r="E92" s="1">
        <v>0.0</v>
      </c>
      <c r="F92" s="2"/>
      <c r="G92" s="2"/>
    </row>
    <row r="93">
      <c r="A93" s="1" t="s">
        <v>83</v>
      </c>
      <c r="B93" s="1">
        <v>57183.0</v>
      </c>
      <c r="C93" s="3">
        <v>1.714318898E9</v>
      </c>
      <c r="D93" s="3">
        <v>1.735054898E9</v>
      </c>
      <c r="E93" s="1">
        <v>0.0</v>
      </c>
      <c r="F93" s="2"/>
      <c r="G93" s="2"/>
    </row>
    <row r="94">
      <c r="A94" s="1" t="s">
        <v>84</v>
      </c>
      <c r="B94" s="1">
        <v>57378.0</v>
      </c>
      <c r="C94" s="3">
        <v>1.714319415E9</v>
      </c>
      <c r="D94" s="3">
        <v>1.735055415E9</v>
      </c>
      <c r="E94" s="1">
        <v>0.0</v>
      </c>
      <c r="F94" s="2"/>
      <c r="G94" s="2"/>
    </row>
    <row r="95">
      <c r="A95" s="1" t="s">
        <v>85</v>
      </c>
      <c r="B95" s="1">
        <v>57447.0</v>
      </c>
      <c r="C95" s="3">
        <v>1.714319538E9</v>
      </c>
      <c r="D95" s="3">
        <v>1.735055538E9</v>
      </c>
      <c r="E95" s="1">
        <v>0.0</v>
      </c>
      <c r="F95" s="2"/>
      <c r="G95" s="2"/>
    </row>
    <row r="96">
      <c r="A96" s="1" t="s">
        <v>86</v>
      </c>
      <c r="B96" s="1">
        <v>57452.0</v>
      </c>
      <c r="C96" s="3">
        <v>1.714323342E9</v>
      </c>
      <c r="D96" s="3">
        <v>1.735059342E9</v>
      </c>
      <c r="E96" s="1">
        <v>0.0</v>
      </c>
      <c r="F96" s="2"/>
      <c r="G96" s="2"/>
    </row>
    <row r="97">
      <c r="A97" s="1" t="s">
        <v>87</v>
      </c>
      <c r="B97" s="1">
        <v>57453.0</v>
      </c>
      <c r="C97" s="3">
        <v>1.714324285E9</v>
      </c>
      <c r="D97" s="3">
        <v>1.735060285E9</v>
      </c>
      <c r="E97" s="1">
        <v>0.0</v>
      </c>
      <c r="F97" s="2"/>
      <c r="G97" s="2"/>
    </row>
    <row r="98">
      <c r="A98" s="1" t="s">
        <v>88</v>
      </c>
      <c r="B98" s="1">
        <v>57457.0</v>
      </c>
      <c r="C98" s="3">
        <v>1.714325371E9</v>
      </c>
      <c r="D98" s="3">
        <v>1.735061371E9</v>
      </c>
      <c r="E98" s="1">
        <v>0.0</v>
      </c>
      <c r="F98" s="2"/>
      <c r="G98" s="2"/>
    </row>
    <row r="99">
      <c r="A99" s="1" t="s">
        <v>88</v>
      </c>
      <c r="B99" s="1">
        <v>57457.0</v>
      </c>
      <c r="C99" s="3">
        <v>1.714331991E9</v>
      </c>
      <c r="D99" s="3">
        <v>1.735067991E9</v>
      </c>
      <c r="E99" s="1">
        <v>0.0</v>
      </c>
      <c r="F99" s="2"/>
      <c r="G99" s="2"/>
    </row>
    <row r="100">
      <c r="A100" s="1" t="s">
        <v>89</v>
      </c>
      <c r="B100" s="1">
        <v>57462.0</v>
      </c>
      <c r="C100" s="3">
        <v>1.714333829E9</v>
      </c>
      <c r="D100" s="3">
        <v>1.735069829E9</v>
      </c>
      <c r="E100" s="1">
        <v>0.0</v>
      </c>
      <c r="F100" s="2"/>
      <c r="G100" s="2"/>
    </row>
    <row r="101">
      <c r="A101" s="1" t="s">
        <v>90</v>
      </c>
      <c r="B101" s="1">
        <v>57462.0</v>
      </c>
      <c r="C101" s="3">
        <v>1.714335262E9</v>
      </c>
      <c r="D101" s="3">
        <v>1.735071262E9</v>
      </c>
      <c r="E101" s="1">
        <v>0.0</v>
      </c>
      <c r="F101" s="2"/>
      <c r="G101" s="2"/>
    </row>
    <row r="102">
      <c r="A102" s="1" t="s">
        <v>91</v>
      </c>
      <c r="B102" s="1">
        <v>57465.0</v>
      </c>
      <c r="C102" s="3">
        <v>1.714335585E9</v>
      </c>
      <c r="D102" s="3">
        <v>1.735071585E9</v>
      </c>
      <c r="E102" s="1">
        <v>0.0</v>
      </c>
      <c r="F102" s="2"/>
      <c r="G102" s="2"/>
    </row>
    <row r="103">
      <c r="A103" s="1" t="s">
        <v>92</v>
      </c>
      <c r="B103" s="1">
        <v>57468.0</v>
      </c>
      <c r="C103" s="3">
        <v>1.714338438E9</v>
      </c>
      <c r="D103" s="3">
        <v>1.735074438E9</v>
      </c>
      <c r="E103" s="1">
        <v>0.0</v>
      </c>
      <c r="F103" s="2"/>
      <c r="G103" s="2"/>
    </row>
    <row r="104">
      <c r="A104" s="1" t="s">
        <v>93</v>
      </c>
      <c r="B104" s="1">
        <v>57479.0</v>
      </c>
      <c r="C104" s="3">
        <v>1.714338602E9</v>
      </c>
      <c r="D104" s="3">
        <v>1.735074602E9</v>
      </c>
      <c r="E104" s="1">
        <v>0.0</v>
      </c>
      <c r="F104" s="2"/>
      <c r="G104" s="2"/>
    </row>
    <row r="105">
      <c r="A105" s="1" t="s">
        <v>94</v>
      </c>
      <c r="B105" s="1">
        <v>57481.0</v>
      </c>
      <c r="C105" s="3">
        <v>1.71434056E9</v>
      </c>
      <c r="D105" s="3">
        <v>1.73507656E9</v>
      </c>
      <c r="E105" s="1">
        <v>0.0</v>
      </c>
      <c r="F105" s="2"/>
      <c r="G105" s="2"/>
    </row>
    <row r="106">
      <c r="A106" s="1" t="s">
        <v>95</v>
      </c>
      <c r="B106" s="1">
        <v>57483.0</v>
      </c>
      <c r="C106" s="3">
        <v>1.714341234E9</v>
      </c>
      <c r="D106" s="3">
        <v>1.735077234E9</v>
      </c>
      <c r="E106" s="1">
        <v>0.0</v>
      </c>
      <c r="F106" s="2"/>
      <c r="G106" s="2"/>
    </row>
    <row r="107">
      <c r="A107" s="1" t="s">
        <v>96</v>
      </c>
      <c r="B107" s="1">
        <v>57490.0</v>
      </c>
      <c r="C107" s="3">
        <v>1.714344296E9</v>
      </c>
      <c r="D107" s="3">
        <v>1.735080296E9</v>
      </c>
      <c r="E107" s="1">
        <v>0.0</v>
      </c>
      <c r="F107" s="2"/>
      <c r="G107" s="2"/>
    </row>
    <row r="108">
      <c r="A108" s="1" t="s">
        <v>97</v>
      </c>
      <c r="B108" s="1">
        <v>57490.0</v>
      </c>
      <c r="C108" s="3">
        <v>1.714384085E9</v>
      </c>
      <c r="D108" s="3">
        <v>1.735120085E9</v>
      </c>
      <c r="E108" s="1">
        <v>0.0</v>
      </c>
      <c r="F108" s="2"/>
      <c r="G108" s="2"/>
    </row>
    <row r="109">
      <c r="A109" s="1" t="s">
        <v>98</v>
      </c>
      <c r="B109" s="1">
        <v>57491.0</v>
      </c>
      <c r="C109" s="3">
        <v>1.714496173E9</v>
      </c>
      <c r="D109" s="3">
        <v>1.735232173E9</v>
      </c>
      <c r="E109" s="1">
        <v>0.0</v>
      </c>
      <c r="F109" s="2"/>
      <c r="G109" s="2"/>
    </row>
    <row r="110">
      <c r="A110" s="1" t="s">
        <v>99</v>
      </c>
      <c r="B110" s="1">
        <v>57496.0</v>
      </c>
      <c r="C110" s="3">
        <v>1.715568453E9</v>
      </c>
      <c r="D110" s="3">
        <v>1.736304453E9</v>
      </c>
      <c r="E110" s="1">
        <v>0.0</v>
      </c>
      <c r="F110" s="2"/>
      <c r="G110" s="2"/>
    </row>
    <row r="111">
      <c r="A111" s="1" t="s">
        <v>39</v>
      </c>
      <c r="B111" s="1">
        <v>57499.0</v>
      </c>
      <c r="C111" s="3">
        <v>1.715568567E9</v>
      </c>
      <c r="D111" s="3">
        <v>1.736304567E9</v>
      </c>
      <c r="E111" s="1">
        <v>0.0</v>
      </c>
      <c r="F111" s="2"/>
      <c r="G111" s="2"/>
    </row>
    <row r="112">
      <c r="A112" s="1" t="s">
        <v>25</v>
      </c>
      <c r="B112" s="1">
        <v>57502.0</v>
      </c>
      <c r="C112" s="3">
        <v>1.715962441E9</v>
      </c>
      <c r="D112" s="3">
        <v>1.736698441E9</v>
      </c>
      <c r="E112" s="1">
        <v>0.0</v>
      </c>
      <c r="F112" s="2"/>
      <c r="G112" s="2"/>
    </row>
    <row r="113">
      <c r="A113" s="1" t="s">
        <v>78</v>
      </c>
      <c r="B113" s="1">
        <v>57511.0</v>
      </c>
      <c r="C113" s="3">
        <v>1.717085832E9</v>
      </c>
      <c r="D113" s="3">
        <v>1.737821832E9</v>
      </c>
      <c r="E113" s="1">
        <v>0.0</v>
      </c>
      <c r="F113" s="2"/>
      <c r="G113" s="2"/>
    </row>
    <row r="114">
      <c r="A114" s="1" t="s">
        <v>100</v>
      </c>
      <c r="B114" s="1">
        <v>57515.0</v>
      </c>
      <c r="C114" s="3">
        <v>1.720086532E9</v>
      </c>
      <c r="D114" s="3">
        <v>1.740822532E9</v>
      </c>
      <c r="E114" s="1">
        <v>0.0</v>
      </c>
      <c r="F114" s="2"/>
      <c r="G114" s="2"/>
    </row>
    <row r="115">
      <c r="A115" s="1" t="s">
        <v>101</v>
      </c>
      <c r="B115" s="1">
        <v>57519.0</v>
      </c>
      <c r="C115" s="3">
        <v>1.720141925E9</v>
      </c>
      <c r="D115" s="3">
        <v>1.740877925E9</v>
      </c>
      <c r="E115" s="1">
        <v>0.0</v>
      </c>
      <c r="F115" s="2"/>
      <c r="G115" s="2"/>
    </row>
    <row r="116">
      <c r="A116" s="1" t="s">
        <v>102</v>
      </c>
      <c r="B116" s="1">
        <v>57521.0</v>
      </c>
      <c r="C116" s="3">
        <v>1.720143575E9</v>
      </c>
      <c r="D116" s="3">
        <v>1.740879575E9</v>
      </c>
      <c r="E116" s="1">
        <v>0.0</v>
      </c>
      <c r="F116" s="2"/>
      <c r="G116" s="2"/>
    </row>
    <row r="117">
      <c r="A117" s="1" t="s">
        <v>103</v>
      </c>
      <c r="B117" s="1">
        <v>57523.0</v>
      </c>
      <c r="C117" s="3">
        <v>1.720149667E9</v>
      </c>
      <c r="D117" s="3">
        <v>1.740885667E9</v>
      </c>
      <c r="E117" s="1">
        <v>0.0</v>
      </c>
      <c r="F117" s="2"/>
      <c r="G117" s="2"/>
    </row>
    <row r="118">
      <c r="A118" s="1" t="s">
        <v>104</v>
      </c>
      <c r="B118" s="1">
        <v>57525.0</v>
      </c>
      <c r="C118" s="3">
        <v>1.720183223E9</v>
      </c>
      <c r="D118" s="3">
        <v>1.740919223E9</v>
      </c>
      <c r="E118" s="1">
        <v>0.0</v>
      </c>
      <c r="F118" s="2"/>
      <c r="G118" s="2"/>
    </row>
    <row r="119">
      <c r="A119" s="1" t="s">
        <v>104</v>
      </c>
      <c r="B119" s="1">
        <v>57525.0</v>
      </c>
      <c r="C119" s="3">
        <v>1.720190215E9</v>
      </c>
      <c r="D119" s="3">
        <v>1.740926215E9</v>
      </c>
      <c r="E119" s="1">
        <v>0.0</v>
      </c>
      <c r="F119" s="2"/>
      <c r="G119" s="2"/>
    </row>
    <row r="120">
      <c r="A120" s="1" t="s">
        <v>105</v>
      </c>
      <c r="B120" s="1">
        <v>36000.0</v>
      </c>
      <c r="C120" s="3">
        <v>1.709298401E9</v>
      </c>
      <c r="D120" s="3">
        <v>1.719666401E9</v>
      </c>
      <c r="E120" s="1">
        <v>0.0</v>
      </c>
      <c r="F120" s="2"/>
      <c r="G120" s="2"/>
    </row>
    <row r="121">
      <c r="A121" s="1" t="s">
        <v>60</v>
      </c>
      <c r="B121" s="1">
        <v>36000.0</v>
      </c>
      <c r="C121" s="3">
        <v>1.720360153E9</v>
      </c>
      <c r="D121" s="3">
        <v>1.741096153E9</v>
      </c>
      <c r="E121" s="1">
        <v>0.0</v>
      </c>
      <c r="F121" s="2"/>
      <c r="G121" s="2"/>
    </row>
    <row r="122">
      <c r="A122" s="1" t="s">
        <v>106</v>
      </c>
      <c r="B122" s="1">
        <v>36000.0</v>
      </c>
      <c r="C122" s="3">
        <v>1.720449123E9</v>
      </c>
      <c r="D122" s="3">
        <v>1.741185123E9</v>
      </c>
      <c r="E122" s="1">
        <v>0.0</v>
      </c>
      <c r="F122" s="2"/>
      <c r="G122" s="2"/>
    </row>
    <row r="123">
      <c r="A123" s="1" t="s">
        <v>107</v>
      </c>
      <c r="B123" s="1">
        <v>36000.0</v>
      </c>
      <c r="C123" s="3">
        <v>1.720476604E9</v>
      </c>
      <c r="D123" s="3">
        <v>1.741212604E9</v>
      </c>
      <c r="E123" s="1">
        <v>0.0</v>
      </c>
      <c r="F123" s="2"/>
      <c r="G123" s="2"/>
    </row>
    <row r="124">
      <c r="A124" s="1" t="s">
        <v>108</v>
      </c>
      <c r="B124" s="1">
        <v>36000.0</v>
      </c>
      <c r="C124" s="3">
        <v>1.720541406E9</v>
      </c>
      <c r="D124" s="3">
        <v>1.741277406E9</v>
      </c>
      <c r="E124" s="1">
        <v>0.0</v>
      </c>
      <c r="F124" s="2"/>
      <c r="G124" s="2"/>
    </row>
    <row r="125">
      <c r="A125" s="1" t="s">
        <v>109</v>
      </c>
      <c r="B125" s="1">
        <v>36000.0</v>
      </c>
      <c r="C125" s="3">
        <v>1.720553371E9</v>
      </c>
      <c r="D125" s="3">
        <v>1.741289371E9</v>
      </c>
      <c r="E125" s="1">
        <v>0.0</v>
      </c>
      <c r="F125" s="2"/>
      <c r="G125" s="2"/>
    </row>
    <row r="126">
      <c r="A126" s="1" t="s">
        <v>64</v>
      </c>
      <c r="B126" s="1">
        <v>36000.0</v>
      </c>
      <c r="C126" s="3">
        <v>1.720570909E9</v>
      </c>
      <c r="D126" s="3">
        <v>1.741306909E9</v>
      </c>
      <c r="E126" s="1">
        <v>0.0</v>
      </c>
      <c r="F126" s="2"/>
      <c r="G126" s="2"/>
    </row>
    <row r="127">
      <c r="A127" s="1" t="s">
        <v>110</v>
      </c>
      <c r="B127" s="1">
        <v>36000.0</v>
      </c>
      <c r="C127" s="3">
        <v>1.720705299E9</v>
      </c>
      <c r="D127" s="3">
        <v>1.741441299E9</v>
      </c>
      <c r="E127" s="1">
        <v>0.0</v>
      </c>
      <c r="F127" s="2"/>
      <c r="G127" s="2"/>
    </row>
    <row r="128">
      <c r="A128" s="1" t="s">
        <v>111</v>
      </c>
      <c r="B128" s="1">
        <v>36000.0</v>
      </c>
      <c r="C128" s="3">
        <v>1.720793144E9</v>
      </c>
      <c r="D128" s="3">
        <v>1.741529144E9</v>
      </c>
      <c r="E128" s="1">
        <v>0.0</v>
      </c>
      <c r="F128" s="2"/>
      <c r="G128" s="2"/>
    </row>
    <row r="129">
      <c r="A129" s="1" t="s">
        <v>112</v>
      </c>
      <c r="B129" s="1">
        <v>36415.0</v>
      </c>
      <c r="C129" s="3">
        <v>1.721013453E9</v>
      </c>
      <c r="D129" s="3">
        <v>1.741749453E9</v>
      </c>
      <c r="E129" s="1">
        <v>0.0</v>
      </c>
      <c r="F129" s="2"/>
      <c r="G129" s="2"/>
    </row>
    <row r="130">
      <c r="A130" s="1" t="s">
        <v>113</v>
      </c>
      <c r="B130" s="1">
        <v>36614.0</v>
      </c>
      <c r="C130" s="3">
        <v>1.721028694E9</v>
      </c>
      <c r="D130" s="3">
        <v>1.741764694E9</v>
      </c>
      <c r="E130" s="1">
        <v>0.0</v>
      </c>
      <c r="F130" s="2"/>
      <c r="G130" s="2"/>
    </row>
    <row r="131">
      <c r="A131" s="1" t="s">
        <v>114</v>
      </c>
      <c r="B131" s="1">
        <v>36874.0</v>
      </c>
      <c r="C131" s="3">
        <v>1.710439553E9</v>
      </c>
      <c r="D131" s="3">
        <v>1.720807553E9</v>
      </c>
      <c r="E131" s="1">
        <v>0.0</v>
      </c>
      <c r="F131" s="2"/>
      <c r="G131" s="2"/>
    </row>
    <row r="132">
      <c r="A132" s="1" t="s">
        <v>115</v>
      </c>
      <c r="B132" s="1">
        <v>36934.0</v>
      </c>
      <c r="C132" s="3">
        <v>1.723280193E9</v>
      </c>
      <c r="D132" s="3">
        <v>1.744016193E9</v>
      </c>
      <c r="E132" s="1">
        <v>0.0</v>
      </c>
      <c r="F132" s="2"/>
      <c r="G132" s="2"/>
    </row>
    <row r="133">
      <c r="A133" s="1" t="s">
        <v>116</v>
      </c>
      <c r="B133" s="1">
        <v>37504.0</v>
      </c>
      <c r="C133" s="3">
        <v>1.710916549E9</v>
      </c>
      <c r="D133" s="3">
        <v>1.721284549E9</v>
      </c>
      <c r="E133" s="1">
        <v>0.0</v>
      </c>
      <c r="F133" s="2"/>
      <c r="G133" s="2"/>
    </row>
    <row r="134">
      <c r="A134" s="1" t="s">
        <v>117</v>
      </c>
      <c r="B134" s="1">
        <v>38016.0</v>
      </c>
      <c r="C134" s="3">
        <v>1.710993697E9</v>
      </c>
      <c r="D134" s="3">
        <v>1.721361697E9</v>
      </c>
      <c r="E134" s="1">
        <v>0.0</v>
      </c>
      <c r="F134" s="2"/>
      <c r="G134" s="2"/>
    </row>
    <row r="135">
      <c r="A135" s="1" t="s">
        <v>118</v>
      </c>
      <c r="B135" s="1">
        <v>38812.0</v>
      </c>
      <c r="C135" s="3">
        <v>1.723729753E9</v>
      </c>
      <c r="D135" s="3">
        <v>1.744465753E9</v>
      </c>
      <c r="E135" s="1">
        <v>0.0</v>
      </c>
      <c r="F135" s="2"/>
      <c r="G135" s="2"/>
    </row>
    <row r="136">
      <c r="A136" s="1" t="s">
        <v>47</v>
      </c>
      <c r="B136" s="1">
        <v>38953.0</v>
      </c>
      <c r="C136" s="3">
        <v>1.711474408E9</v>
      </c>
      <c r="D136" s="3">
        <v>1.721842408E9</v>
      </c>
      <c r="E136" s="1">
        <v>0.0</v>
      </c>
      <c r="F136" s="2"/>
      <c r="G136" s="2"/>
    </row>
    <row r="137">
      <c r="A137" s="1" t="s">
        <v>119</v>
      </c>
      <c r="B137" s="1">
        <v>39614.0</v>
      </c>
      <c r="C137" s="3">
        <v>1.711664657E9</v>
      </c>
      <c r="D137" s="3">
        <v>1.722032657E9</v>
      </c>
      <c r="E137" s="1">
        <v>0.0</v>
      </c>
      <c r="F137" s="2"/>
      <c r="G137" s="2"/>
    </row>
    <row r="138">
      <c r="A138" s="1" t="s">
        <v>120</v>
      </c>
      <c r="B138" s="1">
        <v>41283.0</v>
      </c>
      <c r="C138" s="3">
        <v>1.711705457E9</v>
      </c>
      <c r="D138" s="3">
        <v>1.722073457E9</v>
      </c>
      <c r="E138" s="1">
        <v>0.0</v>
      </c>
      <c r="F138" s="2"/>
      <c r="G138" s="2"/>
    </row>
    <row r="139">
      <c r="A139" s="1" t="s">
        <v>75</v>
      </c>
      <c r="B139" s="1">
        <v>41551.0</v>
      </c>
      <c r="C139" s="3">
        <v>1.711934489E9</v>
      </c>
      <c r="D139" s="3">
        <v>1.722302489E9</v>
      </c>
      <c r="E139" s="1">
        <v>0.0</v>
      </c>
      <c r="F139" s="2"/>
      <c r="G139" s="2"/>
    </row>
    <row r="140">
      <c r="A140" s="1" t="s">
        <v>121</v>
      </c>
      <c r="B140" s="1">
        <v>43207.0</v>
      </c>
      <c r="C140" s="3">
        <v>1.712081903E9</v>
      </c>
      <c r="D140" s="3">
        <v>1.722449903E9</v>
      </c>
      <c r="E140" s="1">
        <v>0.0</v>
      </c>
      <c r="F140" s="2"/>
      <c r="G140" s="2"/>
    </row>
    <row r="141">
      <c r="A141" s="1" t="s">
        <v>122</v>
      </c>
      <c r="B141" s="1">
        <v>47169.0</v>
      </c>
      <c r="C141" s="3">
        <v>1.712246221E9</v>
      </c>
      <c r="D141" s="3">
        <v>1.722614221E9</v>
      </c>
      <c r="E141" s="1">
        <v>0.0</v>
      </c>
      <c r="F141" s="2"/>
      <c r="G141" s="2"/>
    </row>
    <row r="142">
      <c r="A142" s="1" t="s">
        <v>123</v>
      </c>
      <c r="B142" s="1">
        <v>36000.0</v>
      </c>
      <c r="C142" s="3">
        <v>1.712263607E9</v>
      </c>
      <c r="D142" s="3">
        <v>1.722631607E9</v>
      </c>
      <c r="E142" s="1">
        <v>0.0</v>
      </c>
      <c r="F142" s="2"/>
      <c r="G142" s="2"/>
    </row>
    <row r="143">
      <c r="A143" s="1" t="s">
        <v>124</v>
      </c>
      <c r="B143" s="1">
        <v>17134.0</v>
      </c>
      <c r="C143" s="3">
        <v>1.712338333E9</v>
      </c>
      <c r="D143" s="3">
        <v>1.722706333E9</v>
      </c>
      <c r="E143" s="1">
        <v>0.0</v>
      </c>
      <c r="F143" s="2"/>
      <c r="G143" s="2"/>
    </row>
    <row r="144">
      <c r="A144" s="1" t="s">
        <v>125</v>
      </c>
      <c r="B144" s="1">
        <v>18315.0</v>
      </c>
      <c r="C144" s="3">
        <v>1.712395587E9</v>
      </c>
      <c r="D144" s="3">
        <v>1.722763587E9</v>
      </c>
      <c r="E144" s="1">
        <v>0.0</v>
      </c>
      <c r="F144" s="2"/>
      <c r="G144" s="2"/>
    </row>
    <row r="145">
      <c r="A145" s="1" t="s">
        <v>126</v>
      </c>
      <c r="B145" s="1">
        <v>18808.0</v>
      </c>
      <c r="C145" s="3">
        <v>1.716274919E9</v>
      </c>
      <c r="D145" s="3">
        <v>1.726642919E9</v>
      </c>
      <c r="E145" s="1">
        <v>0.0</v>
      </c>
      <c r="F145" s="2"/>
      <c r="G145" s="2"/>
    </row>
    <row r="146">
      <c r="A146" s="1" t="s">
        <v>127</v>
      </c>
      <c r="B146" s="1">
        <v>19053.0</v>
      </c>
      <c r="C146" s="3">
        <v>1.716038773E9</v>
      </c>
      <c r="D146" s="3">
        <v>1.726406773E9</v>
      </c>
      <c r="E146" s="1">
        <v>0.0</v>
      </c>
      <c r="F146" s="2"/>
      <c r="G146" s="2"/>
    </row>
    <row r="147">
      <c r="A147" s="1" t="s">
        <v>128</v>
      </c>
      <c r="B147" s="1">
        <v>19067.0</v>
      </c>
      <c r="C147" s="3">
        <v>1.71603854E9</v>
      </c>
      <c r="D147" s="3">
        <v>1.72640654E9</v>
      </c>
      <c r="E147" s="1">
        <v>0.0</v>
      </c>
      <c r="F147" s="2"/>
      <c r="G147" s="2"/>
    </row>
    <row r="148">
      <c r="A148" s="1" t="s">
        <v>129</v>
      </c>
      <c r="B148" s="1">
        <v>2547.0</v>
      </c>
      <c r="C148" s="3">
        <v>1.716038413E9</v>
      </c>
      <c r="D148" s="3">
        <v>1.726406413E9</v>
      </c>
      <c r="E148" s="1">
        <v>0.0</v>
      </c>
      <c r="F148" s="2"/>
      <c r="G148" s="2"/>
    </row>
    <row r="149">
      <c r="A149" s="1" t="s">
        <v>125</v>
      </c>
      <c r="B149" s="1">
        <v>2763.0</v>
      </c>
      <c r="C149" s="3">
        <v>1.71556834E9</v>
      </c>
      <c r="D149" s="3">
        <v>1.72593634E9</v>
      </c>
      <c r="E149" s="1">
        <v>0.0</v>
      </c>
      <c r="F149" s="2"/>
      <c r="G149" s="2"/>
    </row>
    <row r="150">
      <c r="A150" s="1" t="s">
        <v>130</v>
      </c>
      <c r="B150" s="1">
        <v>2765.0</v>
      </c>
      <c r="C150" s="3">
        <v>1.71556823E9</v>
      </c>
      <c r="D150" s="3">
        <v>1.72593623E9</v>
      </c>
      <c r="E150" s="1">
        <v>0.0</v>
      </c>
      <c r="F150" s="2"/>
      <c r="G150" s="2"/>
    </row>
    <row r="151">
      <c r="A151" s="1" t="s">
        <v>131</v>
      </c>
      <c r="B151" s="1">
        <v>2768.0</v>
      </c>
      <c r="C151" s="3">
        <v>1.715567714E9</v>
      </c>
      <c r="D151" s="3">
        <v>1.725935714E9</v>
      </c>
      <c r="E151" s="1">
        <v>0.0</v>
      </c>
      <c r="F151" s="2"/>
      <c r="G151" s="2"/>
    </row>
    <row r="152">
      <c r="A152" s="1" t="s">
        <v>132</v>
      </c>
      <c r="B152" s="1">
        <v>2821.0</v>
      </c>
      <c r="C152" s="3">
        <v>1.715395138E9</v>
      </c>
      <c r="D152" s="3">
        <v>1.725763138E9</v>
      </c>
      <c r="E152" s="1">
        <v>0.0</v>
      </c>
      <c r="F152" s="2"/>
      <c r="G152" s="2"/>
    </row>
    <row r="153">
      <c r="A153" s="1" t="s">
        <v>133</v>
      </c>
      <c r="B153" s="1">
        <v>2852.0</v>
      </c>
      <c r="C153" s="3">
        <v>1.714831849E9</v>
      </c>
      <c r="D153" s="3">
        <v>1.725199849E9</v>
      </c>
      <c r="E153" s="1">
        <v>0.0</v>
      </c>
      <c r="F153" s="2"/>
      <c r="G153" s="2"/>
    </row>
    <row r="154">
      <c r="A154" s="1" t="s">
        <v>134</v>
      </c>
      <c r="B154" s="1">
        <v>2441.0</v>
      </c>
      <c r="C154" s="3">
        <v>1.714638999E9</v>
      </c>
      <c r="D154" s="3">
        <v>1.725006999E9</v>
      </c>
      <c r="E154" s="1">
        <v>0.0</v>
      </c>
      <c r="F154" s="2"/>
      <c r="G154" s="2"/>
    </row>
    <row r="155">
      <c r="A155" s="1" t="s">
        <v>49</v>
      </c>
      <c r="B155" s="1">
        <v>2894.0</v>
      </c>
      <c r="C155" s="3">
        <v>1.714520252E9</v>
      </c>
      <c r="D155" s="3">
        <v>1.724888252E9</v>
      </c>
      <c r="E155" s="1">
        <v>0.0</v>
      </c>
      <c r="F155" s="2"/>
      <c r="G155" s="2"/>
    </row>
    <row r="156">
      <c r="A156" s="1" t="s">
        <v>135</v>
      </c>
      <c r="B156" s="1">
        <v>2914.0</v>
      </c>
      <c r="C156" s="3">
        <v>1.713639066E9</v>
      </c>
      <c r="D156" s="3">
        <v>1.724007066E9</v>
      </c>
      <c r="E156" s="1">
        <v>0.0</v>
      </c>
      <c r="F156" s="2"/>
      <c r="G156" s="2"/>
    </row>
    <row r="157">
      <c r="A157" s="1" t="s">
        <v>86</v>
      </c>
      <c r="B157" s="1">
        <v>2916.0</v>
      </c>
      <c r="C157" s="3">
        <v>1.713622552E9</v>
      </c>
      <c r="D157" s="3">
        <v>1.723990552E9</v>
      </c>
      <c r="E157" s="1">
        <v>0.0</v>
      </c>
      <c r="F157" s="2"/>
      <c r="G157" s="2"/>
    </row>
    <row r="158">
      <c r="A158" s="1" t="s">
        <v>136</v>
      </c>
      <c r="B158" s="1">
        <v>2936.0</v>
      </c>
      <c r="C158" s="3">
        <v>1.713618654E9</v>
      </c>
      <c r="D158" s="3">
        <v>1.723986654E9</v>
      </c>
      <c r="E158" s="1">
        <v>0.0</v>
      </c>
      <c r="F158" s="2"/>
      <c r="G158" s="2"/>
    </row>
    <row r="159">
      <c r="A159" s="1" t="s">
        <v>137</v>
      </c>
      <c r="B159" s="1">
        <v>2937.0</v>
      </c>
      <c r="C159" s="3">
        <v>1.713611746E9</v>
      </c>
      <c r="D159" s="3">
        <v>1.723979746E9</v>
      </c>
      <c r="E159" s="1">
        <v>0.0</v>
      </c>
      <c r="F159" s="2"/>
      <c r="G159" s="2"/>
    </row>
    <row r="160">
      <c r="A160" s="1" t="s">
        <v>138</v>
      </c>
      <c r="B160" s="1">
        <v>2937.0</v>
      </c>
      <c r="C160" s="3">
        <v>1.713550294E9</v>
      </c>
      <c r="D160" s="3">
        <v>1.723918294E9</v>
      </c>
      <c r="E160" s="1">
        <v>0.0</v>
      </c>
      <c r="F160" s="2"/>
      <c r="G160" s="2"/>
    </row>
    <row r="161">
      <c r="A161" s="1" t="s">
        <v>139</v>
      </c>
      <c r="B161" s="1">
        <v>2939.0</v>
      </c>
      <c r="C161" s="3">
        <v>1.713390007E9</v>
      </c>
      <c r="D161" s="3">
        <v>1.723758007E9</v>
      </c>
      <c r="E161" s="1">
        <v>0.0</v>
      </c>
      <c r="F161" s="2"/>
      <c r="G161" s="2"/>
    </row>
    <row r="162">
      <c r="A162" s="1" t="s">
        <v>140</v>
      </c>
      <c r="B162" s="1">
        <v>2941.0</v>
      </c>
      <c r="C162" s="3">
        <v>1.713388825E9</v>
      </c>
      <c r="D162" s="3">
        <v>1.723756825E9</v>
      </c>
      <c r="E162" s="1">
        <v>0.0</v>
      </c>
      <c r="F162" s="2"/>
      <c r="G162" s="2"/>
    </row>
    <row r="163">
      <c r="A163" s="1" t="s">
        <v>86</v>
      </c>
      <c r="B163" s="1">
        <v>2941.0</v>
      </c>
      <c r="C163" s="3">
        <v>1.713380272E9</v>
      </c>
      <c r="D163" s="3">
        <v>1.723748272E9</v>
      </c>
      <c r="E163" s="1">
        <v>0.0</v>
      </c>
      <c r="F163" s="2"/>
      <c r="G163" s="2"/>
    </row>
    <row r="164">
      <c r="A164" s="1" t="s">
        <v>86</v>
      </c>
      <c r="B164" s="1">
        <v>2941.0</v>
      </c>
      <c r="C164" s="3">
        <v>1.71300897E9</v>
      </c>
      <c r="D164" s="3">
        <v>1.72337697E9</v>
      </c>
      <c r="E164" s="1">
        <v>0.0</v>
      </c>
      <c r="F164" s="2"/>
      <c r="G164" s="2"/>
    </row>
    <row r="165">
      <c r="A165" s="1" t="s">
        <v>86</v>
      </c>
      <c r="B165" s="1">
        <v>2941.0</v>
      </c>
      <c r="C165" s="3">
        <v>1.712578521E9</v>
      </c>
      <c r="D165" s="3">
        <v>1.722946521E9</v>
      </c>
      <c r="E165" s="1">
        <v>0.0</v>
      </c>
      <c r="F165" s="2"/>
      <c r="G165" s="2"/>
    </row>
    <row r="166">
      <c r="A166" s="1" t="s">
        <v>141</v>
      </c>
      <c r="B166" s="1">
        <v>2942.0</v>
      </c>
      <c r="C166" s="3">
        <v>1.716329807E9</v>
      </c>
      <c r="D166" s="3">
        <v>1.726697807E9</v>
      </c>
      <c r="E166" s="1">
        <v>0.0</v>
      </c>
      <c r="F166" s="2"/>
      <c r="G166" s="2"/>
    </row>
    <row r="167">
      <c r="A167" s="1" t="s">
        <v>142</v>
      </c>
      <c r="B167" s="1">
        <v>2972.0</v>
      </c>
      <c r="C167" s="3">
        <v>1.718776347E9</v>
      </c>
      <c r="D167" s="3">
        <v>1.729144347E9</v>
      </c>
      <c r="E167" s="1">
        <v>0.0</v>
      </c>
      <c r="F167" s="2"/>
      <c r="G167" s="2"/>
    </row>
    <row r="168">
      <c r="A168" s="1" t="s">
        <v>143</v>
      </c>
      <c r="B168" s="1">
        <v>3600.0</v>
      </c>
      <c r="C168" s="3">
        <v>1.718776292E9</v>
      </c>
      <c r="D168" s="3">
        <v>1.729144292E9</v>
      </c>
      <c r="E168" s="1">
        <v>0.0</v>
      </c>
      <c r="F168" s="2"/>
      <c r="G168" s="2"/>
    </row>
    <row r="169">
      <c r="A169" s="1" t="s">
        <v>144</v>
      </c>
      <c r="B169" s="1">
        <v>3600.0</v>
      </c>
      <c r="C169" s="3">
        <v>1.71733355E9</v>
      </c>
      <c r="D169" s="3">
        <v>1.72770155E9</v>
      </c>
      <c r="E169" s="1">
        <v>0.0</v>
      </c>
      <c r="F169" s="2"/>
      <c r="G169" s="2"/>
    </row>
    <row r="170">
      <c r="A170" s="1" t="s">
        <v>145</v>
      </c>
      <c r="B170" s="1">
        <v>3600.0</v>
      </c>
      <c r="C170" s="3">
        <v>1.699384934E9</v>
      </c>
      <c r="D170" s="3">
        <v>1.707160934E9</v>
      </c>
      <c r="E170" s="1">
        <v>0.0</v>
      </c>
      <c r="F170" s="2"/>
      <c r="G170" s="2"/>
    </row>
    <row r="171">
      <c r="A171" s="1" t="s">
        <v>146</v>
      </c>
      <c r="B171" s="1">
        <v>3600.0</v>
      </c>
      <c r="C171" s="3">
        <v>1.698927402E9</v>
      </c>
      <c r="D171" s="3">
        <v>1.706703402E9</v>
      </c>
      <c r="E171" s="1">
        <v>0.0</v>
      </c>
      <c r="F171" s="2"/>
      <c r="G171" s="2"/>
    </row>
    <row r="172">
      <c r="A172" s="1" t="s">
        <v>147</v>
      </c>
      <c r="B172" s="1">
        <v>3600.0</v>
      </c>
      <c r="C172" s="3">
        <v>1.718279845E9</v>
      </c>
      <c r="D172" s="3">
        <v>1.728647845E9</v>
      </c>
      <c r="E172" s="1">
        <v>0.0</v>
      </c>
      <c r="F172" s="2"/>
      <c r="G172" s="2"/>
    </row>
    <row r="173">
      <c r="A173" s="1" t="s">
        <v>148</v>
      </c>
      <c r="B173" s="1">
        <v>3600.0</v>
      </c>
      <c r="C173" s="3">
        <v>1.703676236E9</v>
      </c>
      <c r="D173" s="3">
        <v>1.711452236E9</v>
      </c>
      <c r="E173" s="1">
        <v>0.0</v>
      </c>
      <c r="F173" s="2"/>
      <c r="G173" s="2"/>
    </row>
    <row r="174">
      <c r="A174" s="1" t="s">
        <v>149</v>
      </c>
      <c r="B174" s="1">
        <v>3600.0</v>
      </c>
      <c r="C174" s="3">
        <v>1.697976968E9</v>
      </c>
      <c r="D174" s="3">
        <v>1.705752968E9</v>
      </c>
      <c r="E174" s="1">
        <v>0.0</v>
      </c>
      <c r="F174" s="2"/>
      <c r="G174" s="2"/>
    </row>
    <row r="175">
      <c r="A175" s="1" t="s">
        <v>150</v>
      </c>
      <c r="B175" s="1">
        <v>3600.0</v>
      </c>
      <c r="C175" s="3">
        <v>1.703855899E9</v>
      </c>
      <c r="D175" s="3">
        <v>1.711631899E9</v>
      </c>
      <c r="E175" s="1">
        <v>0.0</v>
      </c>
      <c r="F175" s="2"/>
      <c r="G175" s="2"/>
    </row>
    <row r="176">
      <c r="A176" s="1" t="s">
        <v>151</v>
      </c>
      <c r="B176" s="1">
        <v>3600.0</v>
      </c>
      <c r="C176" s="3">
        <v>1.703326359E9</v>
      </c>
      <c r="D176" s="3">
        <v>1.711102359E9</v>
      </c>
      <c r="E176" s="1">
        <v>0.0</v>
      </c>
      <c r="F176" s="2"/>
      <c r="G176" s="2"/>
    </row>
    <row r="177">
      <c r="A177" s="1" t="s">
        <v>152</v>
      </c>
      <c r="B177" s="1">
        <v>3600.0</v>
      </c>
      <c r="C177" s="3">
        <v>1.700322358E9</v>
      </c>
      <c r="D177" s="3">
        <v>1.708098358E9</v>
      </c>
      <c r="E177" s="1">
        <v>0.0</v>
      </c>
      <c r="F177" s="2"/>
      <c r="G177" s="2"/>
    </row>
    <row r="178">
      <c r="A178" s="1" t="s">
        <v>153</v>
      </c>
      <c r="B178" s="1">
        <v>3600.0</v>
      </c>
      <c r="C178" s="3">
        <v>1.699459405E9</v>
      </c>
      <c r="D178" s="3">
        <v>1.707235405E9</v>
      </c>
      <c r="E178" s="1">
        <v>0.0</v>
      </c>
      <c r="F178" s="2"/>
      <c r="G178" s="2"/>
    </row>
    <row r="179">
      <c r="A179" s="1" t="s">
        <v>154</v>
      </c>
      <c r="B179" s="1">
        <v>3600.0</v>
      </c>
      <c r="C179" s="3">
        <v>1.698928491E9</v>
      </c>
      <c r="D179" s="3">
        <v>1.706704491E9</v>
      </c>
      <c r="E179" s="1">
        <v>0.0</v>
      </c>
      <c r="F179" s="2"/>
      <c r="G179" s="2"/>
    </row>
    <row r="180">
      <c r="A180" s="1" t="s">
        <v>155</v>
      </c>
      <c r="B180" s="1">
        <v>3600.0</v>
      </c>
      <c r="C180" s="3">
        <v>1.697960901E9</v>
      </c>
      <c r="D180" s="3">
        <v>1.705736901E9</v>
      </c>
      <c r="E180" s="1">
        <v>0.0</v>
      </c>
      <c r="F180" s="2"/>
      <c r="G180" s="2"/>
    </row>
    <row r="181">
      <c r="A181" s="1" t="s">
        <v>156</v>
      </c>
      <c r="B181" s="1">
        <v>3600.0</v>
      </c>
      <c r="C181" s="3">
        <v>1.697881095E9</v>
      </c>
      <c r="D181" s="3">
        <v>1.705657095E9</v>
      </c>
      <c r="E181" s="1">
        <v>0.0</v>
      </c>
      <c r="F181" s="2"/>
      <c r="G181" s="2"/>
    </row>
    <row r="182">
      <c r="A182" s="1" t="s">
        <v>157</v>
      </c>
      <c r="B182" s="1">
        <v>3600.0</v>
      </c>
      <c r="C182" s="3">
        <v>1.709308377E9</v>
      </c>
      <c r="D182" s="3">
        <v>1.717084377E9</v>
      </c>
      <c r="E182" s="1">
        <v>0.0</v>
      </c>
      <c r="F182" s="2"/>
      <c r="G182" s="2"/>
    </row>
    <row r="183">
      <c r="A183" s="1" t="s">
        <v>158</v>
      </c>
      <c r="B183" s="1">
        <v>3600.0</v>
      </c>
      <c r="C183" s="3">
        <v>1.709316861E9</v>
      </c>
      <c r="D183" s="3">
        <v>1.717092861E9</v>
      </c>
      <c r="E183" s="1">
        <v>0.0</v>
      </c>
      <c r="F183" s="2"/>
      <c r="G183" s="2"/>
    </row>
    <row r="184">
      <c r="A184" s="1" t="s">
        <v>159</v>
      </c>
      <c r="B184" s="1">
        <v>3600.0</v>
      </c>
      <c r="C184" s="3">
        <v>1.709457779E9</v>
      </c>
      <c r="D184" s="3">
        <v>1.717233779E9</v>
      </c>
      <c r="E184" s="1">
        <v>0.0</v>
      </c>
      <c r="F184" s="2"/>
      <c r="G184" s="2"/>
    </row>
    <row r="185">
      <c r="A185" s="1" t="s">
        <v>160</v>
      </c>
      <c r="B185" s="1">
        <v>3600.0</v>
      </c>
      <c r="C185" s="3">
        <v>1.709741761E9</v>
      </c>
      <c r="D185" s="3">
        <v>1.717517761E9</v>
      </c>
      <c r="E185" s="1">
        <v>0.0</v>
      </c>
      <c r="F185" s="2"/>
      <c r="G185" s="2"/>
    </row>
    <row r="186">
      <c r="A186" s="1" t="s">
        <v>161</v>
      </c>
      <c r="B186" s="1">
        <v>3600.0</v>
      </c>
      <c r="C186" s="3">
        <v>1.71042227E9</v>
      </c>
      <c r="D186" s="3">
        <v>1.71819827E9</v>
      </c>
      <c r="E186" s="1">
        <v>0.0</v>
      </c>
      <c r="F186" s="2"/>
      <c r="G186" s="2"/>
    </row>
    <row r="187">
      <c r="A187" s="1" t="s">
        <v>162</v>
      </c>
      <c r="B187" s="1">
        <v>3600.0</v>
      </c>
      <c r="C187" s="3">
        <v>1.701968059E9</v>
      </c>
      <c r="D187" s="3">
        <v>1.707152059E9</v>
      </c>
      <c r="E187" s="1">
        <v>0.0</v>
      </c>
      <c r="F187" s="2"/>
      <c r="G187" s="2"/>
    </row>
    <row r="188">
      <c r="A188" s="1" t="s">
        <v>163</v>
      </c>
      <c r="B188" s="1">
        <v>3600.0</v>
      </c>
      <c r="C188" s="3">
        <v>1.700652039E9</v>
      </c>
      <c r="D188" s="3">
        <v>1.705836039E9</v>
      </c>
      <c r="E188" s="1">
        <v>0.0</v>
      </c>
      <c r="F188" s="2"/>
      <c r="G188" s="2"/>
    </row>
    <row r="189">
      <c r="A189" s="1" t="s">
        <v>164</v>
      </c>
      <c r="B189" s="1">
        <v>3600.0</v>
      </c>
      <c r="C189" s="3">
        <v>1.704228052E9</v>
      </c>
      <c r="D189" s="3">
        <v>1.709412052E9</v>
      </c>
      <c r="E189" s="1">
        <v>0.0</v>
      </c>
      <c r="F189" s="2"/>
      <c r="G189" s="2"/>
    </row>
    <row r="190">
      <c r="A190" s="1" t="s">
        <v>165</v>
      </c>
      <c r="B190" s="1">
        <v>3600.0</v>
      </c>
      <c r="C190" s="3">
        <v>1.701099332E9</v>
      </c>
      <c r="D190" s="3">
        <v>1.706283332E9</v>
      </c>
      <c r="E190" s="1">
        <v>0.0</v>
      </c>
      <c r="F190" s="2"/>
      <c r="G190" s="2"/>
    </row>
    <row r="191">
      <c r="A191" s="1" t="s">
        <v>166</v>
      </c>
      <c r="B191" s="1">
        <v>3600.0</v>
      </c>
      <c r="C191" s="3">
        <v>1.700057466E9</v>
      </c>
      <c r="D191" s="3">
        <v>1.705241466E9</v>
      </c>
      <c r="E191" s="1">
        <v>0.0</v>
      </c>
      <c r="F191" s="2"/>
      <c r="G191" s="2"/>
    </row>
    <row r="192">
      <c r="A192" s="1" t="s">
        <v>167</v>
      </c>
      <c r="B192" s="1">
        <v>3600.0</v>
      </c>
      <c r="C192" s="3">
        <v>1.699381418E9</v>
      </c>
      <c r="D192" s="3">
        <v>1.704565418E9</v>
      </c>
      <c r="E192" s="1">
        <v>0.0</v>
      </c>
      <c r="F192" s="2"/>
      <c r="G192" s="2"/>
    </row>
    <row r="193">
      <c r="A193" s="1" t="s">
        <v>163</v>
      </c>
      <c r="B193" s="1">
        <v>3600.0</v>
      </c>
      <c r="C193" s="3">
        <v>1.703593867E9</v>
      </c>
      <c r="D193" s="3">
        <v>1.708777867E9</v>
      </c>
      <c r="E193" s="1">
        <v>0.0</v>
      </c>
      <c r="F193" s="2"/>
      <c r="G193" s="2"/>
    </row>
    <row r="194">
      <c r="A194" s="1" t="s">
        <v>168</v>
      </c>
      <c r="B194" s="1">
        <v>3600.0</v>
      </c>
      <c r="C194" s="3">
        <v>1.70359733E9</v>
      </c>
      <c r="D194" s="3">
        <v>1.70878133E9</v>
      </c>
      <c r="E194" s="1">
        <v>0.0</v>
      </c>
      <c r="F194" s="2"/>
      <c r="G194" s="2"/>
    </row>
    <row r="195">
      <c r="A195" s="1" t="s">
        <v>169</v>
      </c>
      <c r="B195" s="1">
        <v>3600.0</v>
      </c>
      <c r="C195" s="3">
        <v>1.700314101E9</v>
      </c>
      <c r="D195" s="3">
        <v>1.705498101E9</v>
      </c>
      <c r="E195" s="1">
        <v>0.0</v>
      </c>
      <c r="F195" s="2"/>
      <c r="G195" s="2"/>
    </row>
    <row r="196">
      <c r="A196" s="1" t="s">
        <v>170</v>
      </c>
      <c r="B196" s="1">
        <v>3600.0</v>
      </c>
      <c r="C196" s="3">
        <v>1.701189591E9</v>
      </c>
      <c r="D196" s="3">
        <v>1.706373591E9</v>
      </c>
      <c r="E196" s="1">
        <v>0.0</v>
      </c>
      <c r="F196" s="2"/>
      <c r="G196" s="2"/>
    </row>
    <row r="197">
      <c r="A197" s="1" t="s">
        <v>171</v>
      </c>
      <c r="B197" s="1">
        <v>1728.0</v>
      </c>
      <c r="C197" s="3">
        <v>1.703691248E9</v>
      </c>
      <c r="D197" s="3">
        <v>1.708875248E9</v>
      </c>
      <c r="E197" s="1">
        <v>0.0</v>
      </c>
      <c r="F197" s="2"/>
      <c r="G197" s="2"/>
    </row>
    <row r="198">
      <c r="A198" s="1" t="s">
        <v>172</v>
      </c>
      <c r="B198" s="1">
        <v>1728.0</v>
      </c>
      <c r="C198" s="3">
        <v>1.703773101E9</v>
      </c>
      <c r="D198" s="3">
        <v>1.708957101E9</v>
      </c>
      <c r="E198" s="1">
        <v>0.0</v>
      </c>
      <c r="F198" s="2"/>
      <c r="G198" s="2"/>
    </row>
    <row r="199">
      <c r="A199" s="1" t="s">
        <v>173</v>
      </c>
      <c r="B199" s="1">
        <v>810.0</v>
      </c>
      <c r="C199" s="3">
        <v>1.699349928E9</v>
      </c>
      <c r="D199" s="3">
        <v>1.704533928E9</v>
      </c>
      <c r="E199" s="1">
        <v>0.0</v>
      </c>
      <c r="F199" s="2"/>
      <c r="G199" s="2"/>
    </row>
    <row r="200">
      <c r="A200" s="1" t="s">
        <v>174</v>
      </c>
      <c r="B200" s="1">
        <v>810.0</v>
      </c>
      <c r="C200" s="3">
        <v>1.697930029E9</v>
      </c>
      <c r="D200" s="3">
        <v>1.703114029E9</v>
      </c>
      <c r="E200" s="1">
        <v>0.0</v>
      </c>
      <c r="F200" s="2"/>
      <c r="G200" s="2"/>
    </row>
    <row r="201">
      <c r="A201" s="1" t="s">
        <v>175</v>
      </c>
      <c r="B201" s="1">
        <v>810.0</v>
      </c>
      <c r="C201" s="3">
        <v>1.702664423E9</v>
      </c>
      <c r="D201" s="3">
        <v>1.707848423E9</v>
      </c>
      <c r="E201" s="1">
        <v>0.0</v>
      </c>
      <c r="F201" s="2"/>
      <c r="G201" s="2"/>
    </row>
    <row r="202">
      <c r="A202" s="1" t="s">
        <v>176</v>
      </c>
      <c r="B202" s="1">
        <v>810.0</v>
      </c>
      <c r="C202" s="3">
        <v>1.702815723E9</v>
      </c>
      <c r="D202" s="3">
        <v>1.707999723E9</v>
      </c>
      <c r="E202" s="1">
        <v>0.0</v>
      </c>
      <c r="F202" s="2"/>
      <c r="G202" s="2"/>
    </row>
    <row r="203">
      <c r="A203" s="1" t="s">
        <v>177</v>
      </c>
      <c r="B203" s="1">
        <v>810.0</v>
      </c>
      <c r="C203" s="3">
        <v>1.698930026E9</v>
      </c>
      <c r="D203" s="3">
        <v>1.704114026E9</v>
      </c>
      <c r="E203" s="1">
        <v>0.0</v>
      </c>
      <c r="F203" s="2"/>
      <c r="G203" s="2"/>
    </row>
    <row r="204">
      <c r="A204" s="1" t="s">
        <v>178</v>
      </c>
      <c r="B204" s="1">
        <v>810.0</v>
      </c>
      <c r="C204" s="3">
        <v>1.697888191E9</v>
      </c>
      <c r="D204" s="3">
        <v>1.703072191E9</v>
      </c>
      <c r="E204" s="1">
        <v>0.0</v>
      </c>
      <c r="F204" s="2"/>
      <c r="G204" s="2"/>
    </row>
    <row r="205">
      <c r="A205" s="1" t="s">
        <v>176</v>
      </c>
      <c r="B205" s="1">
        <v>810.0</v>
      </c>
      <c r="C205" s="3">
        <v>1.701779818E9</v>
      </c>
      <c r="D205" s="3">
        <v>1.706963818E9</v>
      </c>
      <c r="E205" s="1">
        <v>0.0</v>
      </c>
      <c r="F205" s="2"/>
      <c r="G205" s="2"/>
    </row>
    <row r="206">
      <c r="A206" s="1" t="s">
        <v>179</v>
      </c>
      <c r="B206" s="1">
        <v>810.0</v>
      </c>
      <c r="C206" s="3">
        <v>1.701361206E9</v>
      </c>
      <c r="D206" s="3">
        <v>1.706545206E9</v>
      </c>
      <c r="E206" s="1">
        <v>0.0</v>
      </c>
      <c r="F206" s="2"/>
      <c r="G206" s="2"/>
    </row>
    <row r="207">
      <c r="A207" s="1" t="s">
        <v>176</v>
      </c>
      <c r="B207" s="1">
        <v>810.0</v>
      </c>
      <c r="C207" s="3">
        <v>1.701189728E9</v>
      </c>
      <c r="D207" s="3">
        <v>1.706373728E9</v>
      </c>
      <c r="E207" s="1">
        <v>0.0</v>
      </c>
      <c r="F207" s="2"/>
      <c r="G207" s="2"/>
    </row>
    <row r="208">
      <c r="A208" s="1" t="s">
        <v>176</v>
      </c>
      <c r="B208" s="1">
        <v>810.0</v>
      </c>
      <c r="C208" s="3">
        <v>1.700310131E9</v>
      </c>
      <c r="D208" s="3">
        <v>1.705494131E9</v>
      </c>
      <c r="E208" s="1">
        <v>0.0</v>
      </c>
      <c r="F208" s="2"/>
      <c r="G208" s="2"/>
    </row>
    <row r="209">
      <c r="A209" s="1" t="s">
        <v>180</v>
      </c>
      <c r="B209" s="1">
        <v>810.0</v>
      </c>
      <c r="C209" s="3">
        <v>1.698933916E9</v>
      </c>
      <c r="D209" s="3">
        <v>1.704117916E9</v>
      </c>
      <c r="E209" s="1">
        <v>0.0</v>
      </c>
      <c r="F209" s="2"/>
      <c r="G209" s="2"/>
    </row>
    <row r="210">
      <c r="A210" s="1" t="s">
        <v>181</v>
      </c>
      <c r="B210" s="1">
        <v>810.0</v>
      </c>
      <c r="C210" s="3">
        <v>1.704293812E9</v>
      </c>
      <c r="D210" s="3">
        <v>1.709477812E9</v>
      </c>
      <c r="E210" s="1">
        <v>0.0</v>
      </c>
      <c r="F210" s="2"/>
      <c r="G210" s="2"/>
    </row>
    <row r="211">
      <c r="A211" s="1" t="s">
        <v>182</v>
      </c>
      <c r="B211" s="1">
        <v>810.0</v>
      </c>
      <c r="C211" s="3">
        <v>1.703677183E9</v>
      </c>
      <c r="D211" s="3">
        <v>1.708861183E9</v>
      </c>
      <c r="E211" s="1">
        <v>0.0</v>
      </c>
      <c r="F211" s="2"/>
      <c r="G211" s="2"/>
    </row>
    <row r="212">
      <c r="A212" s="1" t="s">
        <v>183</v>
      </c>
      <c r="B212" s="1">
        <v>810.0</v>
      </c>
      <c r="C212" s="3">
        <v>1.703585814E9</v>
      </c>
      <c r="D212" s="3">
        <v>1.708769814E9</v>
      </c>
      <c r="E212" s="1">
        <v>0.0</v>
      </c>
      <c r="F212" s="2"/>
      <c r="G212" s="2"/>
    </row>
    <row r="213">
      <c r="A213" s="1" t="s">
        <v>184</v>
      </c>
      <c r="B213" s="1">
        <v>810.0</v>
      </c>
      <c r="C213" s="3">
        <v>1.703358072E9</v>
      </c>
      <c r="D213" s="3">
        <v>1.708542072E9</v>
      </c>
      <c r="E213" s="1">
        <v>0.0</v>
      </c>
      <c r="F213" s="2"/>
      <c r="G213" s="2"/>
    </row>
    <row r="214">
      <c r="A214" s="1" t="s">
        <v>179</v>
      </c>
      <c r="B214" s="1">
        <v>810.0</v>
      </c>
      <c r="C214" s="3">
        <v>1.703071461E9</v>
      </c>
      <c r="D214" s="3">
        <v>1.708255461E9</v>
      </c>
      <c r="E214" s="1">
        <v>0.0</v>
      </c>
      <c r="F214" s="2"/>
      <c r="G214" s="2"/>
    </row>
    <row r="215">
      <c r="A215" s="1" t="s">
        <v>176</v>
      </c>
      <c r="B215" s="1">
        <v>810.0</v>
      </c>
      <c r="C215" s="3">
        <v>1.702931822E9</v>
      </c>
      <c r="D215" s="3">
        <v>1.708115822E9</v>
      </c>
      <c r="E215" s="1">
        <v>0.0</v>
      </c>
      <c r="F215" s="2"/>
      <c r="G215" s="2"/>
    </row>
    <row r="216">
      <c r="A216" s="1" t="s">
        <v>185</v>
      </c>
      <c r="B216" s="1">
        <v>810.0</v>
      </c>
      <c r="C216" s="3">
        <v>1.702814807E9</v>
      </c>
      <c r="D216" s="3">
        <v>1.707998807E9</v>
      </c>
      <c r="E216" s="1">
        <v>0.0</v>
      </c>
      <c r="F216" s="2"/>
      <c r="G216" s="2"/>
    </row>
    <row r="217">
      <c r="A217" s="1" t="s">
        <v>186</v>
      </c>
      <c r="B217" s="1">
        <v>810.0</v>
      </c>
      <c r="C217" s="3">
        <v>1.702563758E9</v>
      </c>
      <c r="D217" s="3">
        <v>1.707747758E9</v>
      </c>
      <c r="E217" s="1">
        <v>0.0</v>
      </c>
      <c r="F217" s="2"/>
      <c r="G217" s="2"/>
    </row>
    <row r="218">
      <c r="A218" s="1" t="s">
        <v>175</v>
      </c>
      <c r="B218" s="1">
        <v>810.0</v>
      </c>
      <c r="C218" s="3">
        <v>1.702472861E9</v>
      </c>
      <c r="D218" s="3">
        <v>1.707656861E9</v>
      </c>
      <c r="E218" s="1">
        <v>0.0</v>
      </c>
      <c r="F218" s="2"/>
      <c r="G218" s="2"/>
    </row>
    <row r="219">
      <c r="A219" s="1" t="s">
        <v>176</v>
      </c>
      <c r="B219" s="1">
        <v>810.0</v>
      </c>
      <c r="C219" s="3">
        <v>1.702044038E9</v>
      </c>
      <c r="D219" s="3">
        <v>1.707228038E9</v>
      </c>
      <c r="E219" s="1">
        <v>0.0</v>
      </c>
      <c r="F219" s="2"/>
      <c r="G219" s="2"/>
    </row>
    <row r="220">
      <c r="A220" s="1" t="s">
        <v>187</v>
      </c>
      <c r="B220" s="1">
        <v>810.0</v>
      </c>
      <c r="C220" s="3">
        <v>1.70187802E9</v>
      </c>
      <c r="D220" s="3">
        <v>1.70706202E9</v>
      </c>
      <c r="E220" s="1">
        <v>0.0</v>
      </c>
      <c r="F220" s="2"/>
      <c r="G220" s="2"/>
    </row>
    <row r="221">
      <c r="A221" s="1" t="s">
        <v>188</v>
      </c>
      <c r="B221" s="1">
        <v>810.0</v>
      </c>
      <c r="C221" s="3">
        <v>1.701872912E9</v>
      </c>
      <c r="D221" s="3">
        <v>1.707056912E9</v>
      </c>
      <c r="E221" s="1">
        <v>0.0</v>
      </c>
      <c r="F221" s="2"/>
      <c r="G221" s="2"/>
    </row>
    <row r="222">
      <c r="A222" s="1" t="s">
        <v>186</v>
      </c>
      <c r="B222" s="1">
        <v>810.0</v>
      </c>
      <c r="C222" s="3">
        <v>1.701864764E9</v>
      </c>
      <c r="D222" s="3">
        <v>1.707048764E9</v>
      </c>
      <c r="E222" s="1">
        <v>0.0</v>
      </c>
      <c r="F222" s="2"/>
      <c r="G222" s="2"/>
    </row>
    <row r="223">
      <c r="A223" s="1" t="s">
        <v>183</v>
      </c>
      <c r="B223" s="1">
        <v>810.0</v>
      </c>
      <c r="C223" s="3">
        <v>1.701850264E9</v>
      </c>
      <c r="D223" s="3">
        <v>1.707034264E9</v>
      </c>
      <c r="E223" s="1">
        <v>0.0</v>
      </c>
      <c r="F223" s="2"/>
      <c r="G223" s="2"/>
    </row>
    <row r="224">
      <c r="A224" s="1" t="s">
        <v>189</v>
      </c>
      <c r="B224" s="1">
        <v>1620.0</v>
      </c>
      <c r="C224" s="3">
        <v>1.701774804E9</v>
      </c>
      <c r="D224" s="3">
        <v>1.706958804E9</v>
      </c>
      <c r="E224" s="1">
        <v>0.0</v>
      </c>
      <c r="F224" s="2"/>
      <c r="G224" s="2"/>
    </row>
    <row r="225">
      <c r="A225" s="1" t="s">
        <v>190</v>
      </c>
      <c r="B225" s="1">
        <v>1620.0</v>
      </c>
      <c r="C225" s="3">
        <v>1.701774656E9</v>
      </c>
      <c r="D225" s="3">
        <v>1.706958656E9</v>
      </c>
      <c r="E225" s="1">
        <v>0.0</v>
      </c>
      <c r="F225" s="2"/>
      <c r="G225" s="2"/>
    </row>
    <row r="226">
      <c r="A226" s="1" t="s">
        <v>191</v>
      </c>
      <c r="B226" s="1">
        <v>1593.0</v>
      </c>
      <c r="C226" s="3">
        <v>1.701706971E9</v>
      </c>
      <c r="D226" s="3">
        <v>1.706890971E9</v>
      </c>
      <c r="E226" s="1">
        <v>0.0</v>
      </c>
      <c r="F226" s="2"/>
      <c r="G226" s="2"/>
    </row>
    <row r="227">
      <c r="A227" s="1" t="s">
        <v>192</v>
      </c>
      <c r="B227" s="1">
        <v>1539.0</v>
      </c>
      <c r="C227" s="3">
        <v>1.701554367E9</v>
      </c>
      <c r="D227" s="3">
        <v>1.706738367E9</v>
      </c>
      <c r="E227" s="1">
        <v>0.0</v>
      </c>
      <c r="F227" s="2"/>
      <c r="G227" s="2"/>
    </row>
    <row r="228">
      <c r="A228" s="1" t="s">
        <v>193</v>
      </c>
      <c r="B228" s="1">
        <v>1539.0</v>
      </c>
      <c r="C228" s="3">
        <v>1.701447727E9</v>
      </c>
      <c r="D228" s="3">
        <v>1.706631727E9</v>
      </c>
      <c r="E228" s="1">
        <v>0.0</v>
      </c>
      <c r="F228" s="2"/>
      <c r="G228" s="2"/>
    </row>
    <row r="229">
      <c r="A229" s="1" t="s">
        <v>194</v>
      </c>
      <c r="B229" s="1">
        <v>1458.0</v>
      </c>
      <c r="C229" s="3">
        <v>1.701364793E9</v>
      </c>
      <c r="D229" s="3">
        <v>1.706548793E9</v>
      </c>
      <c r="E229" s="1">
        <v>0.0</v>
      </c>
      <c r="F229" s="2"/>
      <c r="G229" s="2"/>
    </row>
    <row r="230">
      <c r="A230" s="1" t="s">
        <v>194</v>
      </c>
      <c r="B230" s="1">
        <v>1458.0</v>
      </c>
      <c r="C230" s="3">
        <v>1.70111663E9</v>
      </c>
      <c r="D230" s="3">
        <v>1.70630063E9</v>
      </c>
      <c r="E230" s="1">
        <v>0.0</v>
      </c>
      <c r="F230" s="2"/>
      <c r="G230" s="2"/>
    </row>
    <row r="231">
      <c r="A231" s="1" t="s">
        <v>195</v>
      </c>
      <c r="B231" s="1">
        <v>1458.0</v>
      </c>
      <c r="C231" s="3">
        <v>1.701095624E9</v>
      </c>
      <c r="D231" s="3">
        <v>1.706279624E9</v>
      </c>
      <c r="E231" s="1">
        <v>0.0</v>
      </c>
      <c r="F231" s="2"/>
      <c r="G231" s="2"/>
    </row>
    <row r="232">
      <c r="A232" s="1" t="s">
        <v>196</v>
      </c>
      <c r="B232" s="1">
        <v>1404.0</v>
      </c>
      <c r="C232" s="3">
        <v>1.700036739E9</v>
      </c>
      <c r="D232" s="3">
        <v>1.705220739E9</v>
      </c>
      <c r="E232" s="1">
        <v>0.0</v>
      </c>
      <c r="F232" s="2"/>
      <c r="G232" s="2"/>
    </row>
    <row r="233">
      <c r="A233" s="1" t="s">
        <v>197</v>
      </c>
      <c r="B233" s="1">
        <v>1377.0</v>
      </c>
      <c r="C233" s="3">
        <v>1.698995485E9</v>
      </c>
      <c r="D233" s="3">
        <v>1.704179485E9</v>
      </c>
      <c r="E233" s="1">
        <v>0.0</v>
      </c>
      <c r="F233" s="2"/>
      <c r="G233" s="2"/>
    </row>
    <row r="234">
      <c r="A234" s="1" t="s">
        <v>198</v>
      </c>
      <c r="B234" s="1">
        <v>1377.0</v>
      </c>
      <c r="C234" s="3">
        <v>1.698952674E9</v>
      </c>
      <c r="D234" s="3">
        <v>1.704136674E9</v>
      </c>
      <c r="E234" s="1">
        <v>0.0</v>
      </c>
      <c r="F234" s="2"/>
      <c r="G234" s="2"/>
    </row>
    <row r="235">
      <c r="A235" s="1" t="s">
        <v>199</v>
      </c>
      <c r="B235" s="1">
        <v>1377.0</v>
      </c>
      <c r="C235" s="3">
        <v>1.698942668E9</v>
      </c>
      <c r="D235" s="3">
        <v>1.704126668E9</v>
      </c>
      <c r="E235" s="1">
        <v>0.0</v>
      </c>
      <c r="F235" s="2"/>
      <c r="G235" s="2"/>
    </row>
    <row r="236">
      <c r="A236" s="1" t="s">
        <v>200</v>
      </c>
      <c r="B236" s="1">
        <v>1377.0</v>
      </c>
      <c r="C236" s="3">
        <v>1.698928274E9</v>
      </c>
      <c r="D236" s="3">
        <v>1.704112274E9</v>
      </c>
      <c r="E236" s="1">
        <v>0.0</v>
      </c>
      <c r="F236" s="2"/>
      <c r="G236" s="2"/>
    </row>
    <row r="237">
      <c r="A237" s="1" t="s">
        <v>201</v>
      </c>
      <c r="B237" s="1">
        <v>1377.0</v>
      </c>
      <c r="C237" s="3">
        <v>1.698926551E9</v>
      </c>
      <c r="D237" s="3">
        <v>1.704110551E9</v>
      </c>
      <c r="E237" s="1">
        <v>0.0</v>
      </c>
      <c r="F237" s="2"/>
      <c r="G237" s="2"/>
    </row>
    <row r="238">
      <c r="A238" s="1" t="s">
        <v>202</v>
      </c>
      <c r="B238" s="1">
        <v>1350.0</v>
      </c>
      <c r="C238" s="3">
        <v>1.698091372E9</v>
      </c>
      <c r="D238" s="3">
        <v>1.703275372E9</v>
      </c>
      <c r="E238" s="1">
        <v>0.0</v>
      </c>
      <c r="F238" s="2"/>
      <c r="G238" s="2"/>
    </row>
    <row r="239">
      <c r="A239" s="1" t="s">
        <v>203</v>
      </c>
      <c r="B239" s="1">
        <v>1350.0</v>
      </c>
      <c r="C239" s="3">
        <v>1.709141111E9</v>
      </c>
      <c r="D239" s="3">
        <v>1.714325111E9</v>
      </c>
      <c r="E239" s="1">
        <v>0.0</v>
      </c>
      <c r="F239" s="2"/>
      <c r="G239" s="2"/>
    </row>
    <row r="240">
      <c r="A240" s="1" t="s">
        <v>204</v>
      </c>
      <c r="B240" s="1">
        <v>1350.0</v>
      </c>
      <c r="C240" s="3">
        <v>1.709226487E9</v>
      </c>
      <c r="D240" s="3">
        <v>1.714410487E9</v>
      </c>
      <c r="E240" s="1">
        <v>0.0</v>
      </c>
      <c r="F240" s="2"/>
      <c r="G240" s="2"/>
    </row>
    <row r="241">
      <c r="A241" s="1" t="s">
        <v>205</v>
      </c>
      <c r="B241" s="1">
        <v>1350.0</v>
      </c>
      <c r="C241" s="3">
        <v>1.709227811E9</v>
      </c>
      <c r="D241" s="3">
        <v>1.714411811E9</v>
      </c>
      <c r="E241" s="1">
        <v>0.0</v>
      </c>
      <c r="F241" s="2"/>
      <c r="G241" s="2"/>
    </row>
    <row r="242">
      <c r="A242" s="1" t="s">
        <v>206</v>
      </c>
      <c r="B242" s="1">
        <v>1350.0</v>
      </c>
      <c r="C242" s="3">
        <v>1.709228224E9</v>
      </c>
      <c r="D242" s="3">
        <v>1.714412224E9</v>
      </c>
      <c r="E242" s="1">
        <v>0.0</v>
      </c>
      <c r="F242" s="2"/>
      <c r="G242" s="2"/>
    </row>
    <row r="243">
      <c r="A243" s="1" t="s">
        <v>207</v>
      </c>
      <c r="B243" s="1">
        <v>1350.0</v>
      </c>
      <c r="C243" s="3">
        <v>1.709228306E9</v>
      </c>
      <c r="D243" s="3">
        <v>1.714412306E9</v>
      </c>
      <c r="E243" s="1">
        <v>0.0</v>
      </c>
      <c r="F243" s="2"/>
      <c r="G243" s="2"/>
    </row>
    <row r="244">
      <c r="A244" s="1" t="s">
        <v>198</v>
      </c>
      <c r="B244" s="1">
        <v>1350.0</v>
      </c>
      <c r="C244" s="3">
        <v>1.709229133E9</v>
      </c>
      <c r="D244" s="3">
        <v>1.714413133E9</v>
      </c>
      <c r="E244" s="1">
        <v>0.0</v>
      </c>
      <c r="F244" s="2"/>
      <c r="G244" s="2"/>
    </row>
    <row r="245">
      <c r="A245" s="1" t="s">
        <v>208</v>
      </c>
      <c r="B245" s="1">
        <v>1350.0</v>
      </c>
      <c r="C245" s="3">
        <v>1.709235233E9</v>
      </c>
      <c r="D245" s="3">
        <v>1.714419233E9</v>
      </c>
      <c r="E245" s="1">
        <v>0.0</v>
      </c>
      <c r="F245" s="2"/>
      <c r="G245" s="2"/>
    </row>
    <row r="246">
      <c r="A246" s="1" t="s">
        <v>209</v>
      </c>
      <c r="B246" s="1">
        <v>1296.0</v>
      </c>
      <c r="C246" s="3">
        <v>1.709239319E9</v>
      </c>
      <c r="D246" s="3">
        <v>1.714423319E9</v>
      </c>
      <c r="E246" s="1">
        <v>0.0</v>
      </c>
      <c r="F246" s="2"/>
      <c r="G246" s="2"/>
    </row>
    <row r="247">
      <c r="A247" s="1" t="s">
        <v>210</v>
      </c>
      <c r="B247" s="1">
        <v>1242.0</v>
      </c>
      <c r="C247" s="3">
        <v>1.709241944E9</v>
      </c>
      <c r="D247" s="3">
        <v>1.714425944E9</v>
      </c>
      <c r="E247" s="1">
        <v>0.0</v>
      </c>
      <c r="F247" s="2"/>
      <c r="G247" s="2"/>
    </row>
    <row r="248">
      <c r="A248" s="1" t="s">
        <v>211</v>
      </c>
      <c r="B248" s="1">
        <v>1080.0</v>
      </c>
      <c r="C248" s="3">
        <v>1.709242356E9</v>
      </c>
      <c r="D248" s="3">
        <v>1.714426356E9</v>
      </c>
      <c r="E248" s="1">
        <v>0.0</v>
      </c>
      <c r="F248" s="2"/>
      <c r="G248" s="2"/>
    </row>
    <row r="249">
      <c r="A249" s="1" t="s">
        <v>212</v>
      </c>
      <c r="B249" s="1">
        <v>972.0</v>
      </c>
      <c r="C249" s="3">
        <v>1.709301808E9</v>
      </c>
      <c r="D249" s="3">
        <v>1.714485808E9</v>
      </c>
      <c r="E249" s="1">
        <v>0.0</v>
      </c>
      <c r="F249" s="2"/>
      <c r="G249" s="2"/>
    </row>
    <row r="250">
      <c r="A250" s="1" t="s">
        <v>213</v>
      </c>
      <c r="B250" s="1">
        <v>972.0</v>
      </c>
      <c r="C250" s="3">
        <v>1.70930718E9</v>
      </c>
      <c r="D250" s="3">
        <v>1.71449118E9</v>
      </c>
      <c r="E250" s="1">
        <v>0.0</v>
      </c>
      <c r="F250" s="2"/>
      <c r="G250" s="2"/>
    </row>
    <row r="251">
      <c r="A251" s="1" t="s">
        <v>189</v>
      </c>
      <c r="B251" s="1">
        <v>972.0</v>
      </c>
      <c r="C251" s="3">
        <v>1.709365182E9</v>
      </c>
      <c r="D251" s="3">
        <v>1.714549182E9</v>
      </c>
      <c r="E251" s="1">
        <v>0.0</v>
      </c>
      <c r="F251" s="2"/>
      <c r="G251" s="2"/>
    </row>
    <row r="252">
      <c r="A252" s="1" t="s">
        <v>73</v>
      </c>
      <c r="B252" s="1">
        <v>405.0</v>
      </c>
      <c r="C252" s="3">
        <v>1.709486106E9</v>
      </c>
      <c r="D252" s="3">
        <v>1.714670106E9</v>
      </c>
      <c r="E252" s="1">
        <v>0.0</v>
      </c>
      <c r="F252" s="2"/>
      <c r="G252" s="2"/>
    </row>
    <row r="253">
      <c r="A253" s="1" t="s">
        <v>214</v>
      </c>
      <c r="B253" s="1">
        <v>405.0</v>
      </c>
      <c r="C253" s="3">
        <v>1.709573346E9</v>
      </c>
      <c r="D253" s="3">
        <v>1.714757346E9</v>
      </c>
      <c r="E253" s="1">
        <v>0.0</v>
      </c>
      <c r="F253" s="2"/>
      <c r="G253" s="2"/>
    </row>
    <row r="254">
      <c r="A254" s="1" t="s">
        <v>88</v>
      </c>
      <c r="B254" s="1">
        <v>405.0</v>
      </c>
      <c r="C254" s="3">
        <v>1.709727068E9</v>
      </c>
      <c r="D254" s="3">
        <v>1.714911068E9</v>
      </c>
      <c r="E254" s="1">
        <v>0.0</v>
      </c>
      <c r="F254" s="2"/>
      <c r="G254" s="2"/>
    </row>
    <row r="255">
      <c r="A255" s="1" t="s">
        <v>215</v>
      </c>
      <c r="B255" s="1">
        <v>405.0</v>
      </c>
      <c r="C255" s="3">
        <v>1.709735371E9</v>
      </c>
      <c r="D255" s="3">
        <v>1.714919371E9</v>
      </c>
      <c r="E255" s="1">
        <v>0.0</v>
      </c>
      <c r="F255" s="2"/>
      <c r="G255" s="2"/>
    </row>
    <row r="256">
      <c r="A256" s="1" t="s">
        <v>216</v>
      </c>
      <c r="B256" s="1">
        <v>405.0</v>
      </c>
      <c r="C256" s="3">
        <v>1.70974205E9</v>
      </c>
      <c r="D256" s="3">
        <v>1.71492605E9</v>
      </c>
      <c r="E256" s="1">
        <v>0.0</v>
      </c>
      <c r="F256" s="2"/>
      <c r="G256" s="2"/>
    </row>
    <row r="257">
      <c r="A257" s="1" t="s">
        <v>217</v>
      </c>
      <c r="B257" s="1">
        <v>405.0</v>
      </c>
      <c r="C257" s="3">
        <v>1.710364846E9</v>
      </c>
      <c r="D257" s="3">
        <v>1.715548846E9</v>
      </c>
      <c r="E257" s="1">
        <v>0.0</v>
      </c>
      <c r="F257" s="2"/>
      <c r="G257" s="2"/>
    </row>
    <row r="258">
      <c r="A258" s="1" t="s">
        <v>218</v>
      </c>
      <c r="B258" s="1">
        <v>405.0</v>
      </c>
      <c r="C258" s="3">
        <v>1.709372801E9</v>
      </c>
      <c r="D258" s="3">
        <v>1.713260801E9</v>
      </c>
      <c r="E258" s="1">
        <v>0.0</v>
      </c>
      <c r="F258" s="2"/>
      <c r="G258" s="2"/>
    </row>
    <row r="259">
      <c r="A259" s="1" t="s">
        <v>219</v>
      </c>
      <c r="B259" s="1">
        <v>405.0</v>
      </c>
      <c r="C259" s="3">
        <v>1.702382687E9</v>
      </c>
      <c r="D259" s="3">
        <v>1.706270687E9</v>
      </c>
      <c r="E259" s="1">
        <v>0.0</v>
      </c>
      <c r="F259" s="2"/>
      <c r="G259" s="2"/>
    </row>
    <row r="260">
      <c r="A260" s="1" t="s">
        <v>219</v>
      </c>
      <c r="B260" s="1">
        <v>405.0</v>
      </c>
      <c r="C260" s="3">
        <v>1.700400956E9</v>
      </c>
      <c r="D260" s="3">
        <v>1.704288956E9</v>
      </c>
      <c r="E260" s="1">
        <v>0.0</v>
      </c>
      <c r="F260" s="2"/>
      <c r="G260" s="2"/>
    </row>
    <row r="261">
      <c r="A261" s="1" t="s">
        <v>220</v>
      </c>
      <c r="B261" s="1">
        <v>405.0</v>
      </c>
      <c r="C261" s="3">
        <v>1.703773558E9</v>
      </c>
      <c r="D261" s="3">
        <v>1.707661558E9</v>
      </c>
      <c r="E261" s="1">
        <v>0.0</v>
      </c>
      <c r="F261" s="2"/>
      <c r="G261" s="2"/>
    </row>
    <row r="262">
      <c r="A262" s="1" t="s">
        <v>220</v>
      </c>
      <c r="B262" s="1">
        <v>405.0</v>
      </c>
      <c r="C262" s="3">
        <v>1.699384934E9</v>
      </c>
      <c r="D262" s="3">
        <v>1.703272934E9</v>
      </c>
      <c r="E262" s="1">
        <v>0.0</v>
      </c>
      <c r="F262" s="2"/>
      <c r="G262" s="2"/>
    </row>
    <row r="263">
      <c r="A263" s="1" t="s">
        <v>110</v>
      </c>
      <c r="B263" s="1">
        <v>405.0</v>
      </c>
      <c r="C263" s="3">
        <v>1.701190016E9</v>
      </c>
      <c r="D263" s="3">
        <v>1.705078016E9</v>
      </c>
      <c r="E263" s="1">
        <v>0.0</v>
      </c>
      <c r="F263" s="2"/>
      <c r="G263" s="2"/>
    </row>
    <row r="264">
      <c r="A264" s="1" t="s">
        <v>221</v>
      </c>
      <c r="B264" s="1">
        <v>405.0</v>
      </c>
      <c r="C264" s="3">
        <v>1.704456691E9</v>
      </c>
      <c r="D264" s="3">
        <v>1.708344691E9</v>
      </c>
      <c r="E264" s="1">
        <v>0.0</v>
      </c>
      <c r="F264" s="2"/>
      <c r="G264" s="2"/>
    </row>
    <row r="265">
      <c r="A265" s="1" t="s">
        <v>90</v>
      </c>
      <c r="B265" s="1">
        <v>405.0</v>
      </c>
      <c r="C265" s="3">
        <v>1.703088731E9</v>
      </c>
      <c r="D265" s="3">
        <v>1.706976731E9</v>
      </c>
      <c r="E265" s="1">
        <v>0.0</v>
      </c>
      <c r="F265" s="2"/>
      <c r="G265" s="2"/>
    </row>
    <row r="266">
      <c r="A266" s="1" t="s">
        <v>222</v>
      </c>
      <c r="B266" s="1">
        <v>405.0</v>
      </c>
      <c r="C266" s="3">
        <v>1.703915672E9</v>
      </c>
      <c r="D266" s="3">
        <v>1.707803672E9</v>
      </c>
      <c r="E266" s="1">
        <v>0.0</v>
      </c>
      <c r="F266" s="2"/>
      <c r="G266" s="2"/>
    </row>
    <row r="267">
      <c r="A267" s="1" t="s">
        <v>223</v>
      </c>
      <c r="B267" s="1">
        <v>405.0</v>
      </c>
      <c r="C267" s="3">
        <v>1.700089348E9</v>
      </c>
      <c r="D267" s="3">
        <v>1.703977348E9</v>
      </c>
      <c r="E267" s="1">
        <v>0.0</v>
      </c>
      <c r="F267" s="2"/>
      <c r="G267" s="2"/>
    </row>
    <row r="268">
      <c r="A268" s="1" t="s">
        <v>224</v>
      </c>
      <c r="B268" s="1">
        <v>405.0</v>
      </c>
      <c r="C268" s="3">
        <v>1.698937333E9</v>
      </c>
      <c r="D268" s="3">
        <v>1.702825333E9</v>
      </c>
      <c r="E268" s="1">
        <v>0.0</v>
      </c>
      <c r="F268" s="2"/>
      <c r="G268" s="2"/>
    </row>
    <row r="269">
      <c r="A269" s="1" t="s">
        <v>225</v>
      </c>
      <c r="B269" s="1">
        <v>405.0</v>
      </c>
      <c r="C269" s="3">
        <v>1.703509268E9</v>
      </c>
      <c r="D269" s="3">
        <v>1.707397268E9</v>
      </c>
      <c r="E269" s="1">
        <v>0.0</v>
      </c>
      <c r="F269" s="2"/>
      <c r="G269" s="2"/>
    </row>
    <row r="270">
      <c r="A270" s="1" t="s">
        <v>226</v>
      </c>
      <c r="B270" s="1">
        <v>405.0</v>
      </c>
      <c r="C270" s="3">
        <v>1.702936E9</v>
      </c>
      <c r="D270" s="3">
        <v>1.706824E9</v>
      </c>
      <c r="E270" s="1">
        <v>0.0</v>
      </c>
      <c r="F270" s="2"/>
      <c r="G270" s="2"/>
    </row>
    <row r="271">
      <c r="A271" s="1" t="s">
        <v>99</v>
      </c>
      <c r="B271" s="1">
        <v>405.0</v>
      </c>
      <c r="C271" s="3">
        <v>1.700498271E9</v>
      </c>
      <c r="D271" s="3">
        <v>1.704386271E9</v>
      </c>
      <c r="E271" s="1">
        <v>0.0</v>
      </c>
      <c r="F271" s="2"/>
      <c r="G271" s="2"/>
    </row>
    <row r="272">
      <c r="A272" s="1" t="s">
        <v>177</v>
      </c>
      <c r="B272" s="1">
        <v>405.0</v>
      </c>
      <c r="C272" s="3">
        <v>1.70012315E9</v>
      </c>
      <c r="D272" s="3">
        <v>1.70401115E9</v>
      </c>
      <c r="E272" s="1">
        <v>0.0</v>
      </c>
      <c r="F272" s="2"/>
      <c r="G272" s="2"/>
    </row>
    <row r="273">
      <c r="A273" s="1" t="s">
        <v>185</v>
      </c>
      <c r="B273" s="1">
        <v>405.0</v>
      </c>
      <c r="C273" s="3">
        <v>1.699466245E9</v>
      </c>
      <c r="D273" s="3">
        <v>1.703354245E9</v>
      </c>
      <c r="E273" s="1">
        <v>0.0</v>
      </c>
      <c r="F273" s="2"/>
      <c r="G273" s="2"/>
    </row>
    <row r="274">
      <c r="A274" s="1" t="s">
        <v>227</v>
      </c>
      <c r="B274" s="1">
        <v>405.0</v>
      </c>
      <c r="C274" s="3">
        <v>1.699006194E9</v>
      </c>
      <c r="D274" s="3">
        <v>1.702894194E9</v>
      </c>
      <c r="E274" s="1">
        <v>0.0</v>
      </c>
      <c r="F274" s="2"/>
      <c r="G274" s="2"/>
    </row>
    <row r="275">
      <c r="A275" s="1" t="s">
        <v>123</v>
      </c>
      <c r="B275" s="1">
        <v>405.0</v>
      </c>
      <c r="C275" s="3">
        <v>1.704462717E9</v>
      </c>
      <c r="D275" s="3">
        <v>1.708350717E9</v>
      </c>
      <c r="E275" s="1">
        <v>0.0</v>
      </c>
      <c r="F275" s="2"/>
      <c r="G275" s="2"/>
    </row>
    <row r="276">
      <c r="A276" s="1" t="s">
        <v>182</v>
      </c>
      <c r="B276" s="1">
        <v>405.0</v>
      </c>
      <c r="C276" s="3">
        <v>1.70384627E9</v>
      </c>
      <c r="D276" s="3">
        <v>1.70773427E9</v>
      </c>
      <c r="E276" s="1">
        <v>0.0</v>
      </c>
      <c r="F276" s="2"/>
      <c r="G276" s="2"/>
    </row>
    <row r="277">
      <c r="A277" s="1" t="s">
        <v>173</v>
      </c>
      <c r="B277" s="1">
        <v>405.0</v>
      </c>
      <c r="C277" s="3">
        <v>1.703501622E9</v>
      </c>
      <c r="D277" s="3">
        <v>1.707389622E9</v>
      </c>
      <c r="E277" s="1">
        <v>0.0</v>
      </c>
      <c r="F277" s="2"/>
      <c r="G277" s="2"/>
    </row>
    <row r="278">
      <c r="A278" s="1" t="s">
        <v>178</v>
      </c>
      <c r="B278" s="1">
        <v>405.0</v>
      </c>
      <c r="C278" s="3">
        <v>1.702725087E9</v>
      </c>
      <c r="D278" s="3">
        <v>1.706613087E9</v>
      </c>
      <c r="E278" s="1">
        <v>0.0</v>
      </c>
      <c r="F278" s="2"/>
      <c r="G278" s="2"/>
    </row>
    <row r="279">
      <c r="A279" s="1" t="s">
        <v>228</v>
      </c>
      <c r="B279" s="1">
        <v>405.0</v>
      </c>
      <c r="C279" s="3">
        <v>1.701681234E9</v>
      </c>
      <c r="D279" s="3">
        <v>1.705569234E9</v>
      </c>
      <c r="E279" s="1">
        <v>0.0</v>
      </c>
      <c r="F279" s="2"/>
      <c r="G279" s="2"/>
    </row>
    <row r="280">
      <c r="A280" s="1" t="s">
        <v>229</v>
      </c>
      <c r="B280" s="1">
        <v>405.0</v>
      </c>
      <c r="C280" s="3">
        <v>1.701608905E9</v>
      </c>
      <c r="D280" s="3">
        <v>1.705496905E9</v>
      </c>
      <c r="E280" s="1">
        <v>0.0</v>
      </c>
      <c r="F280" s="2"/>
      <c r="G280" s="2"/>
    </row>
    <row r="281">
      <c r="A281" s="1" t="s">
        <v>230</v>
      </c>
      <c r="B281" s="1">
        <v>405.0</v>
      </c>
      <c r="C281" s="3">
        <v>1.700498361E9</v>
      </c>
      <c r="D281" s="3">
        <v>1.704386361E9</v>
      </c>
      <c r="E281" s="1">
        <v>0.0</v>
      </c>
      <c r="F281" s="2"/>
      <c r="G281" s="2"/>
    </row>
    <row r="282">
      <c r="A282" s="1" t="s">
        <v>231</v>
      </c>
      <c r="B282" s="1">
        <v>405.0</v>
      </c>
      <c r="C282" s="3">
        <v>1.699349686E9</v>
      </c>
      <c r="D282" s="3">
        <v>1.703237686E9</v>
      </c>
      <c r="E282" s="1">
        <v>0.0</v>
      </c>
      <c r="F282" s="2"/>
      <c r="G282" s="2"/>
    </row>
    <row r="283">
      <c r="A283" s="1" t="s">
        <v>184</v>
      </c>
      <c r="B283" s="1">
        <v>405.0</v>
      </c>
      <c r="C283" s="3">
        <v>1.703594166E9</v>
      </c>
      <c r="D283" s="3">
        <v>1.707482166E9</v>
      </c>
      <c r="E283" s="1">
        <v>0.0</v>
      </c>
      <c r="F283" s="2"/>
      <c r="G283" s="2"/>
    </row>
    <row r="284">
      <c r="A284" s="1" t="s">
        <v>180</v>
      </c>
      <c r="B284" s="1">
        <v>405.0</v>
      </c>
      <c r="C284" s="3">
        <v>1.698931577E9</v>
      </c>
      <c r="D284" s="3">
        <v>1.702819577E9</v>
      </c>
      <c r="E284" s="1">
        <v>0.0</v>
      </c>
      <c r="F284" s="2"/>
      <c r="G284" s="2"/>
    </row>
    <row r="285">
      <c r="A285" s="1" t="s">
        <v>174</v>
      </c>
      <c r="B285" s="1">
        <v>405.0</v>
      </c>
      <c r="C285" s="3">
        <v>1.700078475E9</v>
      </c>
      <c r="D285" s="3">
        <v>1.703966475E9</v>
      </c>
      <c r="E285" s="1">
        <v>0.0</v>
      </c>
      <c r="F285" s="2"/>
      <c r="G285" s="2"/>
    </row>
    <row r="286">
      <c r="A286" s="1" t="s">
        <v>181</v>
      </c>
      <c r="B286" s="1">
        <v>405.0</v>
      </c>
      <c r="C286" s="3">
        <v>1.703591733E9</v>
      </c>
      <c r="D286" s="3">
        <v>1.707479733E9</v>
      </c>
      <c r="E286" s="1">
        <v>0.0</v>
      </c>
      <c r="F286" s="2"/>
      <c r="G286" s="2"/>
    </row>
    <row r="287">
      <c r="A287" s="1" t="s">
        <v>232</v>
      </c>
      <c r="B287" s="1">
        <v>405.0</v>
      </c>
      <c r="C287" s="3">
        <v>1.703590896E9</v>
      </c>
      <c r="D287" s="3">
        <v>1.707478896E9</v>
      </c>
      <c r="E287" s="1">
        <v>0.0</v>
      </c>
      <c r="F287" s="2"/>
      <c r="G287" s="2"/>
    </row>
    <row r="288">
      <c r="A288" s="1" t="s">
        <v>233</v>
      </c>
      <c r="B288" s="1">
        <v>405.0</v>
      </c>
      <c r="C288" s="3">
        <v>1.698940246E9</v>
      </c>
      <c r="D288" s="3">
        <v>1.702828246E9</v>
      </c>
      <c r="E288" s="1">
        <v>0.0</v>
      </c>
      <c r="F288" s="2"/>
      <c r="G288" s="2"/>
    </row>
    <row r="289">
      <c r="A289" s="1" t="s">
        <v>234</v>
      </c>
      <c r="B289" s="1">
        <v>418.0</v>
      </c>
      <c r="C289" s="3">
        <v>1.712863356E9</v>
      </c>
      <c r="D289" s="3">
        <v>1.716751356E9</v>
      </c>
      <c r="E289" s="1">
        <v>0.0</v>
      </c>
      <c r="F289" s="2"/>
      <c r="G289" s="2"/>
    </row>
    <row r="290">
      <c r="A290" s="1" t="s">
        <v>235</v>
      </c>
      <c r="B290" s="1">
        <v>422.0</v>
      </c>
      <c r="C290" s="3">
        <v>1.71284604E9</v>
      </c>
      <c r="D290" s="3">
        <v>1.71673404E9</v>
      </c>
      <c r="E290" s="1">
        <v>0.0</v>
      </c>
      <c r="F290" s="2"/>
      <c r="G290" s="2"/>
    </row>
    <row r="291">
      <c r="A291" s="1" t="s">
        <v>236</v>
      </c>
      <c r="B291" s="1">
        <v>424.0</v>
      </c>
      <c r="C291" s="3">
        <v>1.712828646E9</v>
      </c>
      <c r="D291" s="3">
        <v>1.716716646E9</v>
      </c>
      <c r="E291" s="1">
        <v>0.0</v>
      </c>
      <c r="F291" s="2"/>
      <c r="G291" s="2"/>
    </row>
    <row r="292">
      <c r="A292" s="1" t="s">
        <v>237</v>
      </c>
      <c r="B292" s="1">
        <v>424.0</v>
      </c>
      <c r="C292" s="3">
        <v>1.712793544E9</v>
      </c>
      <c r="D292" s="3">
        <v>1.716681544E9</v>
      </c>
      <c r="E292" s="1">
        <v>0.0</v>
      </c>
      <c r="F292" s="2"/>
      <c r="G292" s="2"/>
    </row>
    <row r="293">
      <c r="A293" s="1" t="s">
        <v>238</v>
      </c>
      <c r="B293" s="1">
        <v>425.0</v>
      </c>
      <c r="C293" s="3">
        <v>1.712782551E9</v>
      </c>
      <c r="D293" s="3">
        <v>1.716670551E9</v>
      </c>
      <c r="E293" s="1">
        <v>0.0</v>
      </c>
      <c r="F293" s="2"/>
      <c r="G293" s="2"/>
    </row>
    <row r="294">
      <c r="A294" s="1" t="s">
        <v>239</v>
      </c>
      <c r="B294" s="1">
        <v>425.0</v>
      </c>
      <c r="C294" s="3">
        <v>1.712780718E9</v>
      </c>
      <c r="D294" s="3">
        <v>1.716668718E9</v>
      </c>
      <c r="E294" s="1">
        <v>0.0</v>
      </c>
      <c r="F294" s="2"/>
      <c r="G294" s="2"/>
    </row>
    <row r="295">
      <c r="A295" s="1" t="s">
        <v>240</v>
      </c>
      <c r="B295" s="1">
        <v>425.0</v>
      </c>
      <c r="C295" s="3">
        <v>1.712776643E9</v>
      </c>
      <c r="D295" s="3">
        <v>1.716664643E9</v>
      </c>
      <c r="E295" s="1">
        <v>0.0</v>
      </c>
      <c r="F295" s="2"/>
      <c r="G295" s="2"/>
    </row>
    <row r="296">
      <c r="A296" s="1" t="s">
        <v>241</v>
      </c>
      <c r="B296" s="1">
        <v>425.0</v>
      </c>
      <c r="C296" s="3">
        <v>1.712771411E9</v>
      </c>
      <c r="D296" s="3">
        <v>1.716659411E9</v>
      </c>
      <c r="E296" s="1">
        <v>0.0</v>
      </c>
      <c r="F296" s="2"/>
      <c r="G296" s="2"/>
    </row>
    <row r="297">
      <c r="A297" s="1" t="s">
        <v>242</v>
      </c>
      <c r="B297" s="1">
        <v>426.0</v>
      </c>
      <c r="C297" s="3">
        <v>1.712748053E9</v>
      </c>
      <c r="D297" s="3">
        <v>1.716636053E9</v>
      </c>
      <c r="E297" s="1">
        <v>0.0</v>
      </c>
      <c r="F297" s="2"/>
      <c r="G297" s="2"/>
    </row>
    <row r="298">
      <c r="A298" s="1" t="s">
        <v>114</v>
      </c>
      <c r="B298" s="1">
        <v>431.0</v>
      </c>
      <c r="C298" s="3">
        <v>1.712747965E9</v>
      </c>
      <c r="D298" s="3">
        <v>1.716635965E9</v>
      </c>
      <c r="E298" s="1">
        <v>0.0</v>
      </c>
      <c r="F298" s="2"/>
      <c r="G298" s="2"/>
    </row>
    <row r="299">
      <c r="A299" s="1" t="s">
        <v>243</v>
      </c>
      <c r="B299" s="1">
        <v>433.0</v>
      </c>
      <c r="C299" s="3">
        <v>1.712689802E9</v>
      </c>
      <c r="D299" s="3">
        <v>1.716577802E9</v>
      </c>
      <c r="E299" s="1">
        <v>0.0</v>
      </c>
      <c r="F299" s="2"/>
      <c r="G299" s="2"/>
    </row>
    <row r="300">
      <c r="A300" s="1" t="s">
        <v>244</v>
      </c>
      <c r="B300" s="1">
        <v>434.0</v>
      </c>
      <c r="C300" s="3">
        <v>1.712687147E9</v>
      </c>
      <c r="D300" s="3">
        <v>1.716575147E9</v>
      </c>
      <c r="E300" s="1">
        <v>0.0</v>
      </c>
      <c r="F300" s="2"/>
      <c r="G300" s="2"/>
    </row>
    <row r="301">
      <c r="A301" s="1" t="s">
        <v>245</v>
      </c>
      <c r="B301" s="1">
        <v>435.0</v>
      </c>
      <c r="C301" s="3">
        <v>1.712685637E9</v>
      </c>
      <c r="D301" s="3">
        <v>1.716573637E9</v>
      </c>
      <c r="E301" s="1">
        <v>0.0</v>
      </c>
      <c r="F301" s="2"/>
      <c r="G301" s="2"/>
    </row>
    <row r="302">
      <c r="A302" s="1" t="s">
        <v>176</v>
      </c>
      <c r="B302" s="1">
        <v>435.0</v>
      </c>
      <c r="C302" s="3">
        <v>1.712684302E9</v>
      </c>
      <c r="D302" s="3">
        <v>1.716572302E9</v>
      </c>
      <c r="E302" s="1">
        <v>0.0</v>
      </c>
      <c r="F302" s="2"/>
      <c r="G302" s="2"/>
    </row>
    <row r="303">
      <c r="A303" s="1" t="s">
        <v>246</v>
      </c>
      <c r="B303" s="1">
        <v>436.0</v>
      </c>
      <c r="C303" s="3">
        <v>1.712684173E9</v>
      </c>
      <c r="D303" s="3">
        <v>1.716572173E9</v>
      </c>
      <c r="E303" s="1">
        <v>0.0</v>
      </c>
      <c r="F303" s="2"/>
      <c r="G303" s="2"/>
    </row>
    <row r="304">
      <c r="A304" s="1" t="s">
        <v>247</v>
      </c>
      <c r="B304" s="1">
        <v>436.0</v>
      </c>
      <c r="C304" s="3">
        <v>1.712684083E9</v>
      </c>
      <c r="D304" s="3">
        <v>1.716572083E9</v>
      </c>
      <c r="E304" s="1">
        <v>0.0</v>
      </c>
      <c r="F304" s="2"/>
      <c r="G304" s="2"/>
    </row>
    <row r="305">
      <c r="A305" s="1" t="s">
        <v>248</v>
      </c>
      <c r="B305" s="1">
        <v>439.0</v>
      </c>
      <c r="C305" s="3">
        <v>1.712683891E9</v>
      </c>
      <c r="D305" s="3">
        <v>1.716571891E9</v>
      </c>
      <c r="E305" s="1">
        <v>0.0</v>
      </c>
      <c r="F305" s="2"/>
      <c r="G305" s="2"/>
    </row>
    <row r="306">
      <c r="A306" s="1" t="s">
        <v>249</v>
      </c>
      <c r="B306" s="1">
        <v>440.0</v>
      </c>
      <c r="C306" s="3">
        <v>1.71268383E9</v>
      </c>
      <c r="D306" s="3">
        <v>1.71657183E9</v>
      </c>
      <c r="E306" s="1">
        <v>0.0</v>
      </c>
      <c r="F306" s="2"/>
      <c r="G306" s="2"/>
    </row>
    <row r="307">
      <c r="A307" s="1" t="s">
        <v>113</v>
      </c>
      <c r="B307" s="1">
        <v>442.0</v>
      </c>
      <c r="C307" s="3">
        <v>1.712683149E9</v>
      </c>
      <c r="D307" s="3">
        <v>1.716571149E9</v>
      </c>
      <c r="E307" s="1">
        <v>0.0</v>
      </c>
      <c r="F307" s="2"/>
      <c r="G307" s="2"/>
    </row>
    <row r="308">
      <c r="A308" s="1" t="s">
        <v>250</v>
      </c>
      <c r="B308" s="1">
        <v>442.0</v>
      </c>
      <c r="C308" s="3">
        <v>1.712679146E9</v>
      </c>
      <c r="D308" s="3">
        <v>1.716567146E9</v>
      </c>
      <c r="E308" s="1">
        <v>0.0</v>
      </c>
      <c r="F308" s="2"/>
      <c r="G308" s="2"/>
    </row>
    <row r="309">
      <c r="A309" s="1" t="s">
        <v>251</v>
      </c>
      <c r="B309" s="1">
        <v>442.0</v>
      </c>
      <c r="C309" s="3">
        <v>1.712678658E9</v>
      </c>
      <c r="D309" s="3">
        <v>1.716566658E9</v>
      </c>
      <c r="E309" s="1">
        <v>0.0</v>
      </c>
      <c r="F309" s="2"/>
      <c r="G309" s="2"/>
    </row>
    <row r="310">
      <c r="A310" s="1" t="s">
        <v>252</v>
      </c>
      <c r="B310" s="1">
        <v>443.0</v>
      </c>
      <c r="C310" s="3">
        <v>1.712678535E9</v>
      </c>
      <c r="D310" s="3">
        <v>1.716566535E9</v>
      </c>
      <c r="E310" s="1">
        <v>0.0</v>
      </c>
      <c r="F310" s="2"/>
      <c r="G310" s="2"/>
    </row>
    <row r="311">
      <c r="A311" s="1" t="s">
        <v>253</v>
      </c>
      <c r="B311" s="1">
        <v>443.0</v>
      </c>
      <c r="C311" s="3">
        <v>1.712678273E9</v>
      </c>
      <c r="D311" s="3">
        <v>1.716566273E9</v>
      </c>
      <c r="E311" s="1">
        <v>0.0</v>
      </c>
      <c r="F311" s="2"/>
      <c r="G311" s="2"/>
    </row>
    <row r="312">
      <c r="A312" s="1" t="s">
        <v>254</v>
      </c>
      <c r="B312" s="1">
        <v>443.0</v>
      </c>
      <c r="C312" s="3">
        <v>1.712678221E9</v>
      </c>
      <c r="D312" s="3">
        <v>1.716566221E9</v>
      </c>
      <c r="E312" s="1">
        <v>0.0</v>
      </c>
      <c r="F312" s="2"/>
      <c r="G312" s="2"/>
    </row>
    <row r="313">
      <c r="A313" s="1" t="s">
        <v>255</v>
      </c>
      <c r="B313" s="1">
        <v>443.0</v>
      </c>
      <c r="C313" s="3">
        <v>1.712678045E9</v>
      </c>
      <c r="D313" s="3">
        <v>1.716566045E9</v>
      </c>
      <c r="E313" s="1">
        <v>0.0</v>
      </c>
      <c r="F313" s="2"/>
      <c r="G313" s="2"/>
    </row>
    <row r="314">
      <c r="A314" s="1" t="s">
        <v>256</v>
      </c>
      <c r="B314" s="1">
        <v>443.0</v>
      </c>
      <c r="C314" s="3">
        <v>1.709141265E9</v>
      </c>
      <c r="D314" s="3">
        <v>1.713029265E9</v>
      </c>
      <c r="E314" s="1">
        <v>0.0</v>
      </c>
      <c r="F314" s="2"/>
      <c r="G314" s="2"/>
    </row>
    <row r="315">
      <c r="A315" s="1" t="s">
        <v>257</v>
      </c>
      <c r="B315" s="1">
        <v>443.0</v>
      </c>
      <c r="C315" s="3">
        <v>1.709226773E9</v>
      </c>
      <c r="D315" s="3">
        <v>1.713114773E9</v>
      </c>
      <c r="E315" s="1">
        <v>0.0</v>
      </c>
      <c r="F315" s="2"/>
      <c r="G315" s="2"/>
    </row>
    <row r="316">
      <c r="A316" s="1" t="s">
        <v>258</v>
      </c>
      <c r="B316" s="1">
        <v>443.0</v>
      </c>
      <c r="C316" s="3">
        <v>1.709227137E9</v>
      </c>
      <c r="D316" s="3">
        <v>1.713115137E9</v>
      </c>
      <c r="E316" s="1">
        <v>0.0</v>
      </c>
      <c r="F316" s="2"/>
      <c r="G316" s="2"/>
    </row>
    <row r="317">
      <c r="A317" s="1" t="s">
        <v>259</v>
      </c>
      <c r="B317" s="1">
        <v>443.0</v>
      </c>
      <c r="C317" s="3">
        <v>1.709227388E9</v>
      </c>
      <c r="D317" s="3">
        <v>1.713115388E9</v>
      </c>
      <c r="E317" s="1">
        <v>0.0</v>
      </c>
      <c r="F317" s="2"/>
      <c r="G317" s="2"/>
    </row>
    <row r="318">
      <c r="A318" s="1" t="s">
        <v>260</v>
      </c>
      <c r="B318" s="1">
        <v>443.0</v>
      </c>
      <c r="C318" s="3">
        <v>1.709227908E9</v>
      </c>
      <c r="D318" s="3">
        <v>1.713115908E9</v>
      </c>
      <c r="E318" s="1">
        <v>0.0</v>
      </c>
      <c r="F318" s="2"/>
      <c r="G318" s="2"/>
    </row>
    <row r="319">
      <c r="A319" s="1" t="s">
        <v>261</v>
      </c>
      <c r="B319" s="1">
        <v>443.0</v>
      </c>
      <c r="C319" s="3">
        <v>1.709228342E9</v>
      </c>
      <c r="D319" s="3">
        <v>1.713116342E9</v>
      </c>
      <c r="E319" s="1">
        <v>0.0</v>
      </c>
      <c r="F319" s="2"/>
      <c r="G319" s="2"/>
    </row>
    <row r="320">
      <c r="A320" s="1" t="s">
        <v>262</v>
      </c>
      <c r="B320" s="1">
        <v>443.0</v>
      </c>
      <c r="C320" s="3">
        <v>1.709229654E9</v>
      </c>
      <c r="D320" s="3">
        <v>1.713117654E9</v>
      </c>
      <c r="E320" s="1">
        <v>0.0</v>
      </c>
      <c r="F320" s="2"/>
      <c r="G320" s="2"/>
    </row>
    <row r="321">
      <c r="A321" s="1" t="s">
        <v>263</v>
      </c>
      <c r="B321" s="1">
        <v>443.0</v>
      </c>
      <c r="C321" s="3">
        <v>1.709230969E9</v>
      </c>
      <c r="D321" s="3">
        <v>1.713118969E9</v>
      </c>
      <c r="E321" s="1">
        <v>0.0</v>
      </c>
      <c r="F321" s="2"/>
      <c r="G321" s="2"/>
    </row>
    <row r="322">
      <c r="A322" s="1" t="s">
        <v>264</v>
      </c>
      <c r="B322" s="1">
        <v>443.0</v>
      </c>
      <c r="C322" s="3">
        <v>1.709236925E9</v>
      </c>
      <c r="D322" s="3">
        <v>1.713124925E9</v>
      </c>
      <c r="E322" s="1">
        <v>0.0</v>
      </c>
      <c r="F322" s="2"/>
      <c r="G322" s="2"/>
    </row>
    <row r="323">
      <c r="A323" s="1" t="s">
        <v>265</v>
      </c>
      <c r="B323" s="1">
        <v>449.0</v>
      </c>
      <c r="C323" s="3">
        <v>1.70923825E9</v>
      </c>
      <c r="D323" s="3">
        <v>1.71312625E9</v>
      </c>
      <c r="E323" s="1">
        <v>0.0</v>
      </c>
      <c r="F323" s="2"/>
      <c r="G323" s="2"/>
    </row>
    <row r="324">
      <c r="A324" s="1" t="s">
        <v>266</v>
      </c>
      <c r="B324" s="1">
        <v>449.0</v>
      </c>
      <c r="C324" s="3">
        <v>1.709238943E9</v>
      </c>
      <c r="D324" s="3">
        <v>1.713126943E9</v>
      </c>
      <c r="E324" s="1">
        <v>0.0</v>
      </c>
      <c r="F324" s="2"/>
      <c r="G324" s="2"/>
    </row>
    <row r="325">
      <c r="A325" s="1" t="s">
        <v>267</v>
      </c>
      <c r="B325" s="1">
        <v>450.0</v>
      </c>
      <c r="C325" s="3">
        <v>1.709240655E9</v>
      </c>
      <c r="D325" s="3">
        <v>1.713128655E9</v>
      </c>
      <c r="E325" s="1">
        <v>0.0</v>
      </c>
      <c r="F325" s="2"/>
      <c r="G325" s="2"/>
    </row>
    <row r="326">
      <c r="A326" s="1" t="s">
        <v>268</v>
      </c>
      <c r="B326" s="1">
        <v>450.0</v>
      </c>
      <c r="C326" s="3">
        <v>1.709240687E9</v>
      </c>
      <c r="D326" s="3">
        <v>1.713128687E9</v>
      </c>
      <c r="E326" s="1">
        <v>0.0</v>
      </c>
      <c r="F326" s="2"/>
      <c r="G326" s="2"/>
    </row>
    <row r="327">
      <c r="A327" s="1" t="s">
        <v>269</v>
      </c>
      <c r="B327" s="1">
        <v>450.0</v>
      </c>
      <c r="C327" s="3">
        <v>1.709240733E9</v>
      </c>
      <c r="D327" s="3">
        <v>1.713128733E9</v>
      </c>
      <c r="E327" s="1">
        <v>0.0</v>
      </c>
      <c r="F327" s="2"/>
      <c r="G327" s="2"/>
    </row>
    <row r="328">
      <c r="A328" s="1" t="s">
        <v>270</v>
      </c>
      <c r="B328" s="1">
        <v>451.0</v>
      </c>
      <c r="C328" s="3">
        <v>1.709240769E9</v>
      </c>
      <c r="D328" s="3">
        <v>1.713128769E9</v>
      </c>
      <c r="E328" s="1">
        <v>0.0</v>
      </c>
      <c r="F328" s="2"/>
      <c r="G328" s="2"/>
    </row>
    <row r="329">
      <c r="A329" s="1" t="s">
        <v>271</v>
      </c>
      <c r="B329" s="1">
        <v>451.0</v>
      </c>
      <c r="C329" s="3">
        <v>1.709240815E9</v>
      </c>
      <c r="D329" s="3">
        <v>1.713128815E9</v>
      </c>
      <c r="E329" s="1">
        <v>0.0</v>
      </c>
      <c r="F329" s="2"/>
      <c r="G329" s="2"/>
    </row>
    <row r="330">
      <c r="A330" s="1" t="s">
        <v>272</v>
      </c>
      <c r="B330" s="1">
        <v>451.0</v>
      </c>
      <c r="C330" s="3">
        <v>1.709240848E9</v>
      </c>
      <c r="D330" s="3">
        <v>1.713128848E9</v>
      </c>
      <c r="E330" s="1">
        <v>0.0</v>
      </c>
      <c r="F330" s="2"/>
      <c r="G330" s="2"/>
    </row>
    <row r="331">
      <c r="A331" s="1" t="s">
        <v>273</v>
      </c>
      <c r="B331" s="1">
        <v>451.0</v>
      </c>
      <c r="C331" s="3">
        <v>1.70924257E9</v>
      </c>
      <c r="D331" s="3">
        <v>1.71313057E9</v>
      </c>
      <c r="E331" s="1">
        <v>0.0</v>
      </c>
      <c r="F331" s="2"/>
      <c r="G331" s="2"/>
    </row>
    <row r="332">
      <c r="A332" s="1" t="s">
        <v>274</v>
      </c>
      <c r="B332" s="1">
        <v>453.0</v>
      </c>
      <c r="C332" s="3">
        <v>1.709242846E9</v>
      </c>
      <c r="D332" s="3">
        <v>1.713130846E9</v>
      </c>
      <c r="E332" s="1">
        <v>0.0</v>
      </c>
      <c r="F332" s="2"/>
      <c r="G332" s="2"/>
    </row>
    <row r="333">
      <c r="A333" s="1" t="s">
        <v>275</v>
      </c>
      <c r="B333" s="1">
        <v>453.0</v>
      </c>
      <c r="C333" s="3">
        <v>1.709243021E9</v>
      </c>
      <c r="D333" s="3">
        <v>1.713131021E9</v>
      </c>
      <c r="E333" s="1">
        <v>0.0</v>
      </c>
      <c r="F333" s="2"/>
      <c r="G333" s="2"/>
    </row>
    <row r="334">
      <c r="A334" s="1" t="s">
        <v>276</v>
      </c>
      <c r="B334" s="1">
        <v>454.0</v>
      </c>
      <c r="C334" s="3">
        <v>1.709243255E9</v>
      </c>
      <c r="D334" s="3">
        <v>1.713131255E9</v>
      </c>
      <c r="E334" s="1">
        <v>0.0</v>
      </c>
      <c r="F334" s="2"/>
      <c r="G334" s="2"/>
    </row>
    <row r="335">
      <c r="A335" s="1" t="s">
        <v>277</v>
      </c>
      <c r="B335" s="1">
        <v>459.0</v>
      </c>
      <c r="C335" s="3">
        <v>1.709243415E9</v>
      </c>
      <c r="D335" s="3">
        <v>1.713131415E9</v>
      </c>
      <c r="E335" s="1">
        <v>0.0</v>
      </c>
      <c r="F335" s="2"/>
      <c r="G335" s="2"/>
    </row>
    <row r="336">
      <c r="A336" s="1" t="s">
        <v>278</v>
      </c>
      <c r="B336" s="1">
        <v>461.0</v>
      </c>
      <c r="C336" s="3">
        <v>1.709243457E9</v>
      </c>
      <c r="D336" s="3">
        <v>1.713131457E9</v>
      </c>
      <c r="E336" s="1">
        <v>0.0</v>
      </c>
      <c r="F336" s="2"/>
      <c r="G336" s="2"/>
    </row>
    <row r="337">
      <c r="A337" s="1" t="s">
        <v>279</v>
      </c>
      <c r="B337" s="1">
        <v>461.0</v>
      </c>
      <c r="C337" s="3">
        <v>1.709243677E9</v>
      </c>
      <c r="D337" s="3">
        <v>1.713131677E9</v>
      </c>
      <c r="E337" s="1">
        <v>0.0</v>
      </c>
      <c r="F337" s="2"/>
      <c r="G337" s="2"/>
    </row>
    <row r="338">
      <c r="A338" s="1" t="s">
        <v>280</v>
      </c>
      <c r="B338" s="1">
        <v>461.0</v>
      </c>
      <c r="C338" s="3">
        <v>1.709245253E9</v>
      </c>
      <c r="D338" s="3">
        <v>1.713133253E9</v>
      </c>
      <c r="E338" s="1">
        <v>0.0</v>
      </c>
      <c r="F338" s="2"/>
      <c r="G338" s="2"/>
    </row>
    <row r="339">
      <c r="A339" s="1" t="s">
        <v>281</v>
      </c>
      <c r="B339" s="1">
        <v>461.0</v>
      </c>
      <c r="C339" s="3">
        <v>1.709245887E9</v>
      </c>
      <c r="D339" s="3">
        <v>1.713133887E9</v>
      </c>
      <c r="E339" s="1">
        <v>0.0</v>
      </c>
      <c r="F339" s="2"/>
      <c r="G339" s="2"/>
    </row>
    <row r="340">
      <c r="A340" s="1" t="s">
        <v>282</v>
      </c>
      <c r="B340" s="1">
        <v>475.0</v>
      </c>
      <c r="C340" s="3">
        <v>1.709246574E9</v>
      </c>
      <c r="D340" s="3">
        <v>1.713134574E9</v>
      </c>
      <c r="E340" s="1">
        <v>0.0</v>
      </c>
      <c r="F340" s="2"/>
      <c r="G340" s="2"/>
    </row>
    <row r="341">
      <c r="A341" s="1" t="s">
        <v>283</v>
      </c>
      <c r="B341" s="1">
        <v>479.0</v>
      </c>
      <c r="C341" s="3">
        <v>1.709248276E9</v>
      </c>
      <c r="D341" s="3">
        <v>1.713136276E9</v>
      </c>
      <c r="E341" s="1">
        <v>0.0</v>
      </c>
      <c r="F341" s="2"/>
      <c r="G341" s="2"/>
    </row>
    <row r="342">
      <c r="A342" s="1" t="s">
        <v>284</v>
      </c>
      <c r="B342" s="1">
        <v>479.0</v>
      </c>
      <c r="C342" s="3">
        <v>1.709271054E9</v>
      </c>
      <c r="D342" s="3">
        <v>1.713159054E9</v>
      </c>
      <c r="E342" s="1">
        <v>0.0</v>
      </c>
      <c r="F342" s="2"/>
      <c r="G342" s="2"/>
    </row>
    <row r="343">
      <c r="A343" s="1" t="s">
        <v>285</v>
      </c>
      <c r="B343" s="1">
        <v>479.0</v>
      </c>
      <c r="C343" s="3">
        <v>1.709279391E9</v>
      </c>
      <c r="D343" s="3">
        <v>1.713167391E9</v>
      </c>
      <c r="E343" s="1">
        <v>0.0</v>
      </c>
      <c r="F343" s="2"/>
      <c r="G343" s="2"/>
    </row>
    <row r="344">
      <c r="A344" s="1" t="s">
        <v>286</v>
      </c>
      <c r="B344" s="1">
        <v>480.0</v>
      </c>
      <c r="C344" s="3">
        <v>1.709281042E9</v>
      </c>
      <c r="D344" s="3">
        <v>1.713169042E9</v>
      </c>
      <c r="E344" s="1">
        <v>0.0</v>
      </c>
      <c r="F344" s="2"/>
      <c r="G344" s="2"/>
    </row>
    <row r="345">
      <c r="A345" s="1" t="s">
        <v>287</v>
      </c>
      <c r="B345" s="1">
        <v>487.0</v>
      </c>
      <c r="C345" s="3">
        <v>1.709281593E9</v>
      </c>
      <c r="D345" s="3">
        <v>1.713169593E9</v>
      </c>
      <c r="E345" s="1">
        <v>0.0</v>
      </c>
      <c r="F345" s="2"/>
      <c r="G345" s="2"/>
    </row>
    <row r="346">
      <c r="A346" s="1" t="s">
        <v>288</v>
      </c>
      <c r="B346" s="1">
        <v>487.0</v>
      </c>
      <c r="C346" s="3">
        <v>1.709281781E9</v>
      </c>
      <c r="D346" s="3">
        <v>1.713169781E9</v>
      </c>
      <c r="E346" s="1">
        <v>0.0</v>
      </c>
      <c r="F346" s="2"/>
      <c r="G346" s="2"/>
    </row>
    <row r="347">
      <c r="A347" s="1" t="s">
        <v>289</v>
      </c>
      <c r="B347" s="1">
        <v>487.0</v>
      </c>
      <c r="C347" s="3">
        <v>1.709282522E9</v>
      </c>
      <c r="D347" s="3">
        <v>1.713170522E9</v>
      </c>
      <c r="E347" s="1">
        <v>0.0</v>
      </c>
      <c r="F347" s="2"/>
      <c r="G347" s="2"/>
    </row>
    <row r="348">
      <c r="A348" s="1" t="s">
        <v>290</v>
      </c>
      <c r="B348" s="1">
        <v>488.0</v>
      </c>
      <c r="C348" s="3">
        <v>1.709288751E9</v>
      </c>
      <c r="D348" s="3">
        <v>1.713176751E9</v>
      </c>
      <c r="E348" s="1">
        <v>0.0</v>
      </c>
      <c r="F348" s="2"/>
      <c r="G348" s="2"/>
    </row>
    <row r="349">
      <c r="A349" s="1" t="s">
        <v>291</v>
      </c>
      <c r="B349" s="1">
        <v>488.0</v>
      </c>
      <c r="C349" s="3">
        <v>1.709289522E9</v>
      </c>
      <c r="D349" s="3">
        <v>1.713177522E9</v>
      </c>
      <c r="E349" s="1">
        <v>0.0</v>
      </c>
      <c r="F349" s="2"/>
      <c r="G349" s="2"/>
    </row>
    <row r="350">
      <c r="A350" s="1" t="s">
        <v>292</v>
      </c>
      <c r="B350" s="1">
        <v>488.0</v>
      </c>
      <c r="C350" s="3">
        <v>1.709291463E9</v>
      </c>
      <c r="D350" s="3">
        <v>1.713179463E9</v>
      </c>
      <c r="E350" s="1">
        <v>0.0</v>
      </c>
      <c r="F350" s="2"/>
      <c r="G350" s="2"/>
    </row>
    <row r="351">
      <c r="A351" s="1" t="s">
        <v>293</v>
      </c>
      <c r="B351" s="1">
        <v>490.0</v>
      </c>
      <c r="C351" s="3">
        <v>1.709295768E9</v>
      </c>
      <c r="D351" s="3">
        <v>1.713183768E9</v>
      </c>
      <c r="E351" s="1">
        <v>0.0</v>
      </c>
      <c r="F351" s="2"/>
      <c r="G351" s="2"/>
    </row>
    <row r="352">
      <c r="A352" s="1" t="s">
        <v>294</v>
      </c>
      <c r="B352" s="1">
        <v>493.0</v>
      </c>
      <c r="C352" s="3">
        <v>1.709297423E9</v>
      </c>
      <c r="D352" s="3">
        <v>1.713185423E9</v>
      </c>
      <c r="E352" s="1">
        <v>0.0</v>
      </c>
      <c r="F352" s="2"/>
      <c r="G352" s="2"/>
    </row>
    <row r="353">
      <c r="A353" s="1" t="s">
        <v>295</v>
      </c>
      <c r="B353" s="1">
        <v>496.0</v>
      </c>
      <c r="C353" s="3">
        <v>1.709297647E9</v>
      </c>
      <c r="D353" s="3">
        <v>1.713185647E9</v>
      </c>
      <c r="E353" s="1">
        <v>0.0</v>
      </c>
      <c r="F353" s="2"/>
      <c r="G353" s="2"/>
    </row>
    <row r="354">
      <c r="A354" s="1" t="s">
        <v>296</v>
      </c>
      <c r="B354" s="1">
        <v>497.0</v>
      </c>
      <c r="C354" s="3">
        <v>1.709299173E9</v>
      </c>
      <c r="D354" s="3">
        <v>1.713187173E9</v>
      </c>
      <c r="E354" s="1">
        <v>0.0</v>
      </c>
      <c r="F354" s="2"/>
      <c r="G354" s="2"/>
    </row>
    <row r="355">
      <c r="A355" s="1" t="s">
        <v>297</v>
      </c>
      <c r="B355" s="1">
        <v>507.0</v>
      </c>
      <c r="C355" s="3">
        <v>1.709301111E9</v>
      </c>
      <c r="D355" s="3">
        <v>1.713189111E9</v>
      </c>
      <c r="E355" s="1">
        <v>0.0</v>
      </c>
      <c r="F355" s="2"/>
      <c r="G355" s="2"/>
    </row>
    <row r="356">
      <c r="A356" s="1" t="s">
        <v>298</v>
      </c>
      <c r="B356" s="1">
        <v>513.0</v>
      </c>
      <c r="C356" s="3">
        <v>1.709304967E9</v>
      </c>
      <c r="D356" s="3">
        <v>1.713192967E9</v>
      </c>
      <c r="E356" s="1">
        <v>0.0</v>
      </c>
      <c r="F356" s="2"/>
      <c r="G356" s="2"/>
    </row>
    <row r="357">
      <c r="A357" s="1" t="s">
        <v>299</v>
      </c>
      <c r="B357" s="1">
        <v>514.0</v>
      </c>
      <c r="C357" s="3">
        <v>1.709305487E9</v>
      </c>
      <c r="D357" s="3">
        <v>1.713193487E9</v>
      </c>
      <c r="E357" s="1">
        <v>0.0</v>
      </c>
      <c r="F357" s="2"/>
      <c r="G357" s="2"/>
    </row>
    <row r="358">
      <c r="A358" s="1" t="s">
        <v>300</v>
      </c>
      <c r="B358" s="1">
        <v>516.0</v>
      </c>
      <c r="C358" s="3">
        <v>1.709307371E9</v>
      </c>
      <c r="D358" s="3">
        <v>1.713195371E9</v>
      </c>
      <c r="E358" s="1">
        <v>0.0</v>
      </c>
      <c r="F358" s="2"/>
      <c r="G358" s="2"/>
    </row>
    <row r="359">
      <c r="A359" s="1" t="s">
        <v>301</v>
      </c>
      <c r="B359" s="1">
        <v>516.0</v>
      </c>
      <c r="C359" s="3">
        <v>1.709307539E9</v>
      </c>
      <c r="D359" s="3">
        <v>1.713195539E9</v>
      </c>
      <c r="E359" s="1">
        <v>0.0</v>
      </c>
      <c r="F359" s="2"/>
      <c r="G359" s="2"/>
    </row>
    <row r="360">
      <c r="A360" s="1" t="s">
        <v>302</v>
      </c>
      <c r="B360" s="1">
        <v>523.0</v>
      </c>
      <c r="C360" s="3">
        <v>1.709307624E9</v>
      </c>
      <c r="D360" s="3">
        <v>1.713195624E9</v>
      </c>
      <c r="E360" s="1">
        <v>0.0</v>
      </c>
      <c r="F360" s="2"/>
      <c r="G360" s="2"/>
    </row>
    <row r="361">
      <c r="A361" s="1" t="s">
        <v>303</v>
      </c>
      <c r="B361" s="1">
        <v>523.0</v>
      </c>
      <c r="C361" s="3">
        <v>1.709308504E9</v>
      </c>
      <c r="D361" s="3">
        <v>1.713196504E9</v>
      </c>
      <c r="E361" s="1">
        <v>0.0</v>
      </c>
      <c r="F361" s="2"/>
      <c r="G361" s="2"/>
    </row>
    <row r="362">
      <c r="A362" s="1" t="s">
        <v>304</v>
      </c>
      <c r="B362" s="1">
        <v>523.0</v>
      </c>
      <c r="C362" s="3">
        <v>1.709308611E9</v>
      </c>
      <c r="D362" s="3">
        <v>1.713196611E9</v>
      </c>
      <c r="E362" s="1">
        <v>0.0</v>
      </c>
      <c r="F362" s="2"/>
      <c r="G362" s="2"/>
    </row>
    <row r="363">
      <c r="A363" s="1" t="s">
        <v>305</v>
      </c>
      <c r="B363" s="1">
        <v>523.0</v>
      </c>
      <c r="C363" s="3">
        <v>1.709309096E9</v>
      </c>
      <c r="D363" s="3">
        <v>1.713197096E9</v>
      </c>
      <c r="E363" s="1">
        <v>0.0</v>
      </c>
      <c r="F363" s="2"/>
      <c r="G363" s="2"/>
    </row>
    <row r="364">
      <c r="A364" s="1" t="s">
        <v>306</v>
      </c>
      <c r="B364" s="1">
        <v>524.0</v>
      </c>
      <c r="C364" s="3">
        <v>1.709314684E9</v>
      </c>
      <c r="D364" s="3">
        <v>1.713202684E9</v>
      </c>
      <c r="E364" s="1">
        <v>0.0</v>
      </c>
      <c r="F364" s="2"/>
      <c r="G364" s="2"/>
    </row>
    <row r="365">
      <c r="A365" s="1" t="s">
        <v>307</v>
      </c>
      <c r="B365" s="1">
        <v>525.0</v>
      </c>
      <c r="C365" s="3">
        <v>1.709314841E9</v>
      </c>
      <c r="D365" s="3">
        <v>1.713202841E9</v>
      </c>
      <c r="E365" s="1">
        <v>0.0</v>
      </c>
      <c r="F365" s="2"/>
      <c r="G365" s="2"/>
    </row>
    <row r="366">
      <c r="A366" s="1" t="s">
        <v>308</v>
      </c>
      <c r="B366" s="1">
        <v>525.0</v>
      </c>
      <c r="C366" s="3">
        <v>1.709314987E9</v>
      </c>
      <c r="D366" s="3">
        <v>1.713202987E9</v>
      </c>
      <c r="E366" s="1">
        <v>0.0</v>
      </c>
      <c r="F366" s="2"/>
      <c r="G366" s="2"/>
    </row>
    <row r="367">
      <c r="A367" s="1" t="s">
        <v>309</v>
      </c>
      <c r="B367" s="1">
        <v>530.0</v>
      </c>
      <c r="C367" s="3">
        <v>1.709315096E9</v>
      </c>
      <c r="D367" s="3">
        <v>1.713203096E9</v>
      </c>
      <c r="E367" s="1">
        <v>0.0</v>
      </c>
      <c r="F367" s="2"/>
      <c r="G367" s="2"/>
    </row>
    <row r="368">
      <c r="A368" s="1" t="s">
        <v>310</v>
      </c>
      <c r="B368" s="1">
        <v>531.0</v>
      </c>
      <c r="C368" s="3">
        <v>1.709317062E9</v>
      </c>
      <c r="D368" s="3">
        <v>1.713205062E9</v>
      </c>
      <c r="E368" s="1">
        <v>0.0</v>
      </c>
      <c r="F368" s="2"/>
      <c r="G368" s="2"/>
    </row>
    <row r="369">
      <c r="A369" s="1" t="s">
        <v>311</v>
      </c>
      <c r="B369" s="1">
        <v>534.0</v>
      </c>
      <c r="C369" s="3">
        <v>1.709317181E9</v>
      </c>
      <c r="D369" s="3">
        <v>1.713205181E9</v>
      </c>
      <c r="E369" s="1">
        <v>0.0</v>
      </c>
      <c r="F369" s="2"/>
      <c r="G369" s="2"/>
    </row>
    <row r="370">
      <c r="A370" s="1" t="s">
        <v>312</v>
      </c>
      <c r="B370" s="1">
        <v>552.0</v>
      </c>
      <c r="C370" s="3">
        <v>1.709317304E9</v>
      </c>
      <c r="D370" s="3">
        <v>1.713205304E9</v>
      </c>
      <c r="E370" s="1">
        <v>0.0</v>
      </c>
      <c r="F370" s="2"/>
      <c r="G370" s="2"/>
    </row>
    <row r="371">
      <c r="A371" s="1" t="s">
        <v>313</v>
      </c>
      <c r="B371" s="1">
        <v>559.0</v>
      </c>
      <c r="C371" s="3">
        <v>1.709317417E9</v>
      </c>
      <c r="D371" s="3">
        <v>1.713205417E9</v>
      </c>
      <c r="E371" s="1">
        <v>0.0</v>
      </c>
      <c r="F371" s="2"/>
      <c r="G371" s="2"/>
    </row>
    <row r="372">
      <c r="A372" s="1" t="s">
        <v>314</v>
      </c>
      <c r="B372" s="1">
        <v>561.0</v>
      </c>
      <c r="C372" s="3">
        <v>1.709317531E9</v>
      </c>
      <c r="D372" s="3">
        <v>1.713205531E9</v>
      </c>
      <c r="E372" s="1">
        <v>0.0</v>
      </c>
      <c r="F372" s="2"/>
      <c r="G372" s="2"/>
    </row>
    <row r="373">
      <c r="A373" s="1" t="s">
        <v>315</v>
      </c>
      <c r="B373" s="1">
        <v>561.0</v>
      </c>
      <c r="C373" s="3">
        <v>1.709317638E9</v>
      </c>
      <c r="D373" s="3">
        <v>1.713205638E9</v>
      </c>
      <c r="E373" s="1">
        <v>0.0</v>
      </c>
      <c r="F373" s="2"/>
      <c r="G373" s="2"/>
    </row>
    <row r="374">
      <c r="A374" s="1" t="s">
        <v>316</v>
      </c>
      <c r="B374" s="1">
        <v>563.0</v>
      </c>
      <c r="C374" s="3">
        <v>1.709317734E9</v>
      </c>
      <c r="D374" s="3">
        <v>1.713205734E9</v>
      </c>
      <c r="E374" s="1">
        <v>0.0</v>
      </c>
      <c r="F374" s="2"/>
      <c r="G374" s="2"/>
    </row>
    <row r="375">
      <c r="A375" s="1" t="s">
        <v>120</v>
      </c>
      <c r="B375" s="1">
        <v>564.0</v>
      </c>
      <c r="C375" s="3">
        <v>1.709317818E9</v>
      </c>
      <c r="D375" s="3">
        <v>1.713205818E9</v>
      </c>
      <c r="E375" s="1">
        <v>0.0</v>
      </c>
      <c r="F375" s="2"/>
      <c r="G375" s="2"/>
    </row>
    <row r="376">
      <c r="A376" s="1" t="s">
        <v>317</v>
      </c>
      <c r="B376" s="1">
        <v>568.0</v>
      </c>
      <c r="C376" s="3">
        <v>1.709317915E9</v>
      </c>
      <c r="D376" s="3">
        <v>1.713205915E9</v>
      </c>
      <c r="E376" s="1">
        <v>0.0</v>
      </c>
      <c r="F376" s="2"/>
      <c r="G376" s="2"/>
    </row>
    <row r="377">
      <c r="A377" s="1" t="s">
        <v>318</v>
      </c>
      <c r="B377" s="1">
        <v>569.0</v>
      </c>
      <c r="C377" s="3">
        <v>1.709319325E9</v>
      </c>
      <c r="D377" s="3">
        <v>1.713207325E9</v>
      </c>
      <c r="E377" s="1">
        <v>0.0</v>
      </c>
      <c r="F377" s="2"/>
      <c r="G377" s="2"/>
    </row>
    <row r="378">
      <c r="A378" s="1" t="s">
        <v>9</v>
      </c>
      <c r="B378" s="1">
        <v>570.0</v>
      </c>
      <c r="C378" s="3">
        <v>1.709321649E9</v>
      </c>
      <c r="D378" s="3">
        <v>1.713209649E9</v>
      </c>
      <c r="E378" s="1">
        <v>0.0</v>
      </c>
      <c r="F378" s="2"/>
      <c r="G378" s="2"/>
    </row>
    <row r="379">
      <c r="A379" s="1" t="s">
        <v>319</v>
      </c>
      <c r="B379" s="1">
        <v>588.0</v>
      </c>
      <c r="C379" s="3">
        <v>1.709327922E9</v>
      </c>
      <c r="D379" s="3">
        <v>1.713215922E9</v>
      </c>
      <c r="E379" s="1">
        <v>0.0</v>
      </c>
      <c r="F379" s="2"/>
      <c r="G379" s="2"/>
    </row>
    <row r="380">
      <c r="A380" s="1" t="s">
        <v>320</v>
      </c>
      <c r="B380" s="1">
        <v>595.0</v>
      </c>
      <c r="C380" s="3">
        <v>1.709329198E9</v>
      </c>
      <c r="D380" s="3">
        <v>1.713217198E9</v>
      </c>
      <c r="E380" s="1">
        <v>0.0</v>
      </c>
      <c r="F380" s="2"/>
      <c r="G380" s="2"/>
    </row>
    <row r="381">
      <c r="A381" s="1" t="s">
        <v>321</v>
      </c>
      <c r="B381" s="1">
        <v>598.0</v>
      </c>
      <c r="C381" s="3">
        <v>1.709332623E9</v>
      </c>
      <c r="D381" s="3">
        <v>1.713220623E9</v>
      </c>
      <c r="E381" s="1">
        <v>0.0</v>
      </c>
      <c r="F381" s="2"/>
      <c r="G381" s="2"/>
    </row>
    <row r="382">
      <c r="A382" s="1" t="s">
        <v>322</v>
      </c>
      <c r="B382" s="1">
        <v>601.0</v>
      </c>
      <c r="C382" s="3">
        <v>1.709333587E9</v>
      </c>
      <c r="D382" s="3">
        <v>1.713221587E9</v>
      </c>
      <c r="E382" s="1">
        <v>0.0</v>
      </c>
      <c r="F382" s="2"/>
      <c r="G382" s="2"/>
    </row>
    <row r="383">
      <c r="A383" s="1" t="s">
        <v>323</v>
      </c>
      <c r="B383" s="1">
        <v>604.0</v>
      </c>
      <c r="C383" s="3">
        <v>1.709364983E9</v>
      </c>
      <c r="D383" s="3">
        <v>1.713252983E9</v>
      </c>
      <c r="E383" s="1">
        <v>0.0</v>
      </c>
      <c r="F383" s="2"/>
      <c r="G383" s="2"/>
    </row>
    <row r="384">
      <c r="A384" s="1" t="s">
        <v>324</v>
      </c>
      <c r="B384" s="1">
        <v>605.0</v>
      </c>
      <c r="C384" s="3">
        <v>1.709365471E9</v>
      </c>
      <c r="D384" s="3">
        <v>1.713253471E9</v>
      </c>
      <c r="E384" s="1">
        <v>0.0</v>
      </c>
      <c r="F384" s="2"/>
      <c r="G384" s="2"/>
    </row>
    <row r="385">
      <c r="A385" s="1" t="s">
        <v>325</v>
      </c>
      <c r="B385" s="1">
        <v>605.0</v>
      </c>
      <c r="C385" s="3">
        <v>1.709367013E9</v>
      </c>
      <c r="D385" s="3">
        <v>1.713255013E9</v>
      </c>
      <c r="E385" s="1">
        <v>0.0</v>
      </c>
      <c r="F385" s="2"/>
      <c r="G385" s="2"/>
    </row>
    <row r="386">
      <c r="A386" s="1" t="s">
        <v>326</v>
      </c>
      <c r="B386" s="1">
        <v>605.0</v>
      </c>
      <c r="C386" s="3">
        <v>1.709368765E9</v>
      </c>
      <c r="D386" s="3">
        <v>1.713256765E9</v>
      </c>
      <c r="E386" s="1">
        <v>0.0</v>
      </c>
      <c r="F386" s="2"/>
      <c r="G386" s="2"/>
    </row>
    <row r="387">
      <c r="A387" s="1" t="s">
        <v>327</v>
      </c>
      <c r="B387" s="1">
        <v>611.0</v>
      </c>
      <c r="C387" s="3">
        <v>1.709373358E9</v>
      </c>
      <c r="D387" s="3">
        <v>1.713261358E9</v>
      </c>
      <c r="E387" s="1">
        <v>0.0</v>
      </c>
      <c r="F387" s="2"/>
      <c r="G387" s="2"/>
    </row>
    <row r="388">
      <c r="A388" s="1" t="s">
        <v>328</v>
      </c>
      <c r="B388" s="1">
        <v>611.0</v>
      </c>
      <c r="C388" s="3">
        <v>1.709375987E9</v>
      </c>
      <c r="D388" s="3">
        <v>1.713263987E9</v>
      </c>
      <c r="E388" s="1">
        <v>0.0</v>
      </c>
      <c r="F388" s="2"/>
      <c r="G388" s="2"/>
    </row>
    <row r="389">
      <c r="A389" s="1" t="s">
        <v>329</v>
      </c>
      <c r="B389" s="1">
        <v>620.0</v>
      </c>
      <c r="C389" s="3">
        <v>1.709396872E9</v>
      </c>
      <c r="D389" s="3">
        <v>1.713284872E9</v>
      </c>
      <c r="E389" s="1">
        <v>0.0</v>
      </c>
      <c r="F389" s="2"/>
      <c r="G389" s="2"/>
    </row>
    <row r="390">
      <c r="A390" s="1" t="s">
        <v>330</v>
      </c>
      <c r="B390" s="1">
        <v>621.0</v>
      </c>
      <c r="C390" s="3">
        <v>1.709396964E9</v>
      </c>
      <c r="D390" s="3">
        <v>1.713284964E9</v>
      </c>
      <c r="E390" s="1">
        <v>0.0</v>
      </c>
      <c r="F390" s="2"/>
      <c r="G390" s="2"/>
    </row>
    <row r="391">
      <c r="A391" s="1" t="s">
        <v>331</v>
      </c>
      <c r="B391" s="1">
        <v>622.0</v>
      </c>
      <c r="C391" s="3">
        <v>1.709397063E9</v>
      </c>
      <c r="D391" s="3">
        <v>1.713285063E9</v>
      </c>
      <c r="E391" s="1">
        <v>0.0</v>
      </c>
      <c r="F391" s="2"/>
      <c r="G391" s="2"/>
    </row>
    <row r="392">
      <c r="A392" s="1" t="s">
        <v>332</v>
      </c>
      <c r="B392" s="1">
        <v>622.0</v>
      </c>
      <c r="C392" s="3">
        <v>1.709405756E9</v>
      </c>
      <c r="D392" s="3">
        <v>1.713293756E9</v>
      </c>
      <c r="E392" s="1">
        <v>0.0</v>
      </c>
      <c r="F392" s="2"/>
      <c r="G392" s="2"/>
    </row>
    <row r="393">
      <c r="A393" s="1" t="s">
        <v>293</v>
      </c>
      <c r="B393" s="1">
        <v>623.0</v>
      </c>
      <c r="C393" s="3">
        <v>1.70941552E9</v>
      </c>
      <c r="D393" s="3">
        <v>1.71330352E9</v>
      </c>
      <c r="E393" s="1">
        <v>0.0</v>
      </c>
      <c r="F393" s="2"/>
      <c r="G393" s="2"/>
    </row>
    <row r="394">
      <c r="A394" s="1" t="s">
        <v>83</v>
      </c>
      <c r="B394" s="1">
        <v>633.0</v>
      </c>
      <c r="C394" s="3">
        <v>1.709418211E9</v>
      </c>
      <c r="D394" s="3">
        <v>1.713306211E9</v>
      </c>
      <c r="E394" s="1">
        <v>0.0</v>
      </c>
      <c r="F394" s="2"/>
      <c r="G394" s="2"/>
    </row>
    <row r="395">
      <c r="A395" s="1" t="s">
        <v>83</v>
      </c>
      <c r="B395" s="1">
        <v>633.0</v>
      </c>
      <c r="C395" s="3">
        <v>1.709423029E9</v>
      </c>
      <c r="D395" s="3">
        <v>1.713311029E9</v>
      </c>
      <c r="E395" s="1">
        <v>0.0</v>
      </c>
      <c r="F395" s="2"/>
      <c r="G395" s="2"/>
    </row>
    <row r="396">
      <c r="A396" s="1" t="s">
        <v>333</v>
      </c>
      <c r="B396" s="1">
        <v>637.0</v>
      </c>
      <c r="C396" s="3">
        <v>1.709423278E9</v>
      </c>
      <c r="D396" s="3">
        <v>1.713311278E9</v>
      </c>
      <c r="E396" s="1">
        <v>0.0</v>
      </c>
      <c r="F396" s="2"/>
      <c r="G396" s="2"/>
    </row>
    <row r="397">
      <c r="A397" s="1" t="s">
        <v>330</v>
      </c>
      <c r="B397" s="1">
        <v>639.0</v>
      </c>
      <c r="C397" s="3">
        <v>1.709423564E9</v>
      </c>
      <c r="D397" s="3">
        <v>1.713311564E9</v>
      </c>
      <c r="E397" s="1">
        <v>0.0</v>
      </c>
      <c r="F397" s="2"/>
      <c r="G397" s="2"/>
    </row>
    <row r="398">
      <c r="A398" s="1" t="s">
        <v>334</v>
      </c>
      <c r="B398" s="1">
        <v>648.0</v>
      </c>
      <c r="C398" s="3">
        <v>1.70942361E9</v>
      </c>
      <c r="D398" s="3">
        <v>1.71331161E9</v>
      </c>
      <c r="E398" s="1">
        <v>0.0</v>
      </c>
      <c r="F398" s="2"/>
      <c r="G398" s="2"/>
    </row>
    <row r="399">
      <c r="A399" s="1" t="s">
        <v>335</v>
      </c>
      <c r="B399" s="1">
        <v>648.0</v>
      </c>
      <c r="C399" s="3">
        <v>1.709423733E9</v>
      </c>
      <c r="D399" s="3">
        <v>1.713311733E9</v>
      </c>
      <c r="E399" s="1">
        <v>0.0</v>
      </c>
      <c r="F399" s="2"/>
      <c r="G399" s="2"/>
    </row>
    <row r="400">
      <c r="A400" s="1" t="s">
        <v>336</v>
      </c>
      <c r="B400" s="1">
        <v>649.0</v>
      </c>
      <c r="C400" s="3">
        <v>1.709455424E9</v>
      </c>
      <c r="D400" s="3">
        <v>1.713343424E9</v>
      </c>
      <c r="E400" s="1">
        <v>0.0</v>
      </c>
      <c r="F400" s="2"/>
      <c r="G400" s="2"/>
    </row>
    <row r="401">
      <c r="A401" s="1" t="s">
        <v>337</v>
      </c>
      <c r="B401" s="1">
        <v>651.0</v>
      </c>
      <c r="C401" s="3">
        <v>1.709457114E9</v>
      </c>
      <c r="D401" s="3">
        <v>1.713345114E9</v>
      </c>
      <c r="E401" s="1">
        <v>0.0</v>
      </c>
      <c r="F401" s="2"/>
      <c r="G401" s="2"/>
    </row>
    <row r="402">
      <c r="A402" s="1" t="s">
        <v>338</v>
      </c>
      <c r="B402" s="1">
        <v>651.0</v>
      </c>
      <c r="C402" s="3">
        <v>1.709465613E9</v>
      </c>
      <c r="D402" s="3">
        <v>1.713353613E9</v>
      </c>
      <c r="E402" s="1">
        <v>0.0</v>
      </c>
      <c r="F402" s="2"/>
      <c r="G402" s="2"/>
    </row>
    <row r="403">
      <c r="A403" s="1" t="s">
        <v>339</v>
      </c>
      <c r="B403" s="1">
        <v>659.0</v>
      </c>
      <c r="C403" s="3">
        <v>1.709469853E9</v>
      </c>
      <c r="D403" s="3">
        <v>1.713357853E9</v>
      </c>
      <c r="E403" s="1">
        <v>0.0</v>
      </c>
      <c r="F403" s="2"/>
      <c r="G403" s="2"/>
    </row>
    <row r="404">
      <c r="A404" s="1" t="s">
        <v>340</v>
      </c>
      <c r="B404" s="1">
        <v>663.0</v>
      </c>
      <c r="C404" s="3">
        <v>1.709470791E9</v>
      </c>
      <c r="D404" s="3">
        <v>1.713358791E9</v>
      </c>
      <c r="E404" s="1">
        <v>0.0</v>
      </c>
      <c r="F404" s="2"/>
      <c r="G404" s="2"/>
    </row>
    <row r="405">
      <c r="A405" s="1" t="s">
        <v>341</v>
      </c>
      <c r="B405" s="1">
        <v>674.0</v>
      </c>
      <c r="C405" s="3">
        <v>1.709481224E9</v>
      </c>
      <c r="D405" s="3">
        <v>1.713369224E9</v>
      </c>
      <c r="E405" s="1">
        <v>0.0</v>
      </c>
      <c r="F405" s="2"/>
      <c r="G405" s="2"/>
    </row>
    <row r="406">
      <c r="A406" s="1" t="s">
        <v>109</v>
      </c>
      <c r="B406" s="1">
        <v>674.0</v>
      </c>
      <c r="C406" s="3">
        <v>1.709481614E9</v>
      </c>
      <c r="D406" s="3">
        <v>1.713369614E9</v>
      </c>
      <c r="E406" s="1">
        <v>0.0</v>
      </c>
      <c r="F406" s="2"/>
      <c r="G406" s="2"/>
    </row>
    <row r="407">
      <c r="A407" s="1" t="s">
        <v>55</v>
      </c>
      <c r="B407" s="1">
        <v>675.0</v>
      </c>
      <c r="C407" s="3">
        <v>1.709484316E9</v>
      </c>
      <c r="D407" s="3">
        <v>1.713372316E9</v>
      </c>
      <c r="E407" s="1">
        <v>0.0</v>
      </c>
      <c r="F407" s="2"/>
      <c r="G407" s="2"/>
    </row>
    <row r="408">
      <c r="A408" s="1" t="s">
        <v>342</v>
      </c>
      <c r="B408" s="1">
        <v>676.0</v>
      </c>
      <c r="C408" s="3">
        <v>1.709485872E9</v>
      </c>
      <c r="D408" s="3">
        <v>1.713373872E9</v>
      </c>
      <c r="E408" s="1">
        <v>0.0</v>
      </c>
      <c r="F408" s="2"/>
      <c r="G408" s="2"/>
    </row>
    <row r="409">
      <c r="A409" s="1" t="s">
        <v>343</v>
      </c>
      <c r="B409" s="1">
        <v>677.0</v>
      </c>
      <c r="C409" s="3">
        <v>1.709490005E9</v>
      </c>
      <c r="D409" s="3">
        <v>1.713378005E9</v>
      </c>
      <c r="E409" s="1">
        <v>0.0</v>
      </c>
      <c r="F409" s="2"/>
      <c r="G409" s="2"/>
    </row>
    <row r="410">
      <c r="A410" s="1" t="s">
        <v>83</v>
      </c>
      <c r="B410" s="1">
        <v>678.0</v>
      </c>
      <c r="C410" s="3">
        <v>1.709494951E9</v>
      </c>
      <c r="D410" s="3">
        <v>1.713382951E9</v>
      </c>
      <c r="E410" s="1">
        <v>0.0</v>
      </c>
      <c r="F410" s="2"/>
      <c r="G410" s="2"/>
    </row>
    <row r="411">
      <c r="A411" s="1" t="s">
        <v>344</v>
      </c>
      <c r="B411" s="1">
        <v>685.0</v>
      </c>
      <c r="C411" s="3">
        <v>1.709495783E9</v>
      </c>
      <c r="D411" s="3">
        <v>1.713383783E9</v>
      </c>
      <c r="E411" s="1">
        <v>0.0</v>
      </c>
      <c r="F411" s="2"/>
      <c r="G411" s="2"/>
    </row>
    <row r="412">
      <c r="A412" s="1" t="s">
        <v>345</v>
      </c>
      <c r="B412" s="1">
        <v>688.0</v>
      </c>
      <c r="C412" s="3">
        <v>1.709503001E9</v>
      </c>
      <c r="D412" s="3">
        <v>1.713391001E9</v>
      </c>
      <c r="E412" s="1">
        <v>0.0</v>
      </c>
      <c r="F412" s="2"/>
      <c r="G412" s="2"/>
    </row>
    <row r="413">
      <c r="A413" s="1" t="s">
        <v>346</v>
      </c>
      <c r="B413" s="1">
        <v>691.0</v>
      </c>
      <c r="C413" s="3">
        <v>1.709504101E9</v>
      </c>
      <c r="D413" s="3">
        <v>1.713392101E9</v>
      </c>
      <c r="E413" s="1">
        <v>0.0</v>
      </c>
      <c r="F413" s="2"/>
      <c r="G413" s="2"/>
    </row>
    <row r="414">
      <c r="A414" s="1" t="s">
        <v>347</v>
      </c>
      <c r="B414" s="1">
        <v>692.0</v>
      </c>
      <c r="C414" s="3">
        <v>1.70950438E9</v>
      </c>
      <c r="D414" s="3">
        <v>1.71339238E9</v>
      </c>
      <c r="E414" s="1">
        <v>0.0</v>
      </c>
      <c r="F414" s="2"/>
      <c r="G414" s="2"/>
    </row>
    <row r="415">
      <c r="A415" s="1" t="s">
        <v>348</v>
      </c>
      <c r="B415" s="1">
        <v>692.0</v>
      </c>
      <c r="C415" s="3">
        <v>1.709504611E9</v>
      </c>
      <c r="D415" s="3">
        <v>1.713392611E9</v>
      </c>
      <c r="E415" s="1">
        <v>0.0</v>
      </c>
      <c r="F415" s="2"/>
      <c r="G415" s="2"/>
    </row>
    <row r="416">
      <c r="A416" s="1" t="s">
        <v>349</v>
      </c>
      <c r="B416" s="1">
        <v>692.0</v>
      </c>
      <c r="C416" s="3">
        <v>1.709504729E9</v>
      </c>
      <c r="D416" s="3">
        <v>1.713392729E9</v>
      </c>
      <c r="E416" s="1">
        <v>0.0</v>
      </c>
      <c r="F416" s="2"/>
      <c r="G416" s="2"/>
    </row>
    <row r="417">
      <c r="A417" s="1" t="s">
        <v>350</v>
      </c>
      <c r="B417" s="1">
        <v>692.0</v>
      </c>
      <c r="C417" s="3">
        <v>1.709504825E9</v>
      </c>
      <c r="D417" s="3">
        <v>1.713392825E9</v>
      </c>
      <c r="E417" s="1">
        <v>0.0</v>
      </c>
      <c r="F417" s="2"/>
      <c r="G417" s="2"/>
    </row>
    <row r="418">
      <c r="A418" s="1" t="s">
        <v>62</v>
      </c>
      <c r="B418" s="1">
        <v>693.0</v>
      </c>
      <c r="C418" s="3">
        <v>1.709504922E9</v>
      </c>
      <c r="D418" s="3">
        <v>1.713392922E9</v>
      </c>
      <c r="E418" s="1">
        <v>0.0</v>
      </c>
      <c r="F418" s="2"/>
      <c r="G418" s="2"/>
    </row>
    <row r="419">
      <c r="A419" s="1" t="s">
        <v>351</v>
      </c>
      <c r="B419" s="1">
        <v>693.0</v>
      </c>
      <c r="C419" s="3">
        <v>1.709542678E9</v>
      </c>
      <c r="D419" s="3">
        <v>1.713430678E9</v>
      </c>
      <c r="E419" s="1">
        <v>0.0</v>
      </c>
      <c r="F419" s="2"/>
      <c r="G419" s="2"/>
    </row>
    <row r="420">
      <c r="A420" s="1" t="s">
        <v>352</v>
      </c>
      <c r="B420" s="1">
        <v>693.0</v>
      </c>
      <c r="C420" s="3">
        <v>1.709551698E9</v>
      </c>
      <c r="D420" s="3">
        <v>1.713439698E9</v>
      </c>
      <c r="E420" s="1">
        <v>0.0</v>
      </c>
      <c r="F420" s="2"/>
      <c r="G420" s="2"/>
    </row>
    <row r="421">
      <c r="A421" s="1" t="s">
        <v>353</v>
      </c>
      <c r="B421" s="1">
        <v>694.0</v>
      </c>
      <c r="C421" s="3">
        <v>1.709554405E9</v>
      </c>
      <c r="D421" s="3">
        <v>1.713442405E9</v>
      </c>
      <c r="E421" s="1">
        <v>0.0</v>
      </c>
      <c r="F421" s="2"/>
      <c r="G421" s="2"/>
    </row>
    <row r="422">
      <c r="A422" s="1" t="s">
        <v>354</v>
      </c>
      <c r="B422" s="1">
        <v>695.0</v>
      </c>
      <c r="C422" s="3">
        <v>1.70955521E9</v>
      </c>
      <c r="D422" s="3">
        <v>1.71344321E9</v>
      </c>
      <c r="E422" s="1">
        <v>0.0</v>
      </c>
      <c r="F422" s="2"/>
      <c r="G422" s="2"/>
    </row>
    <row r="423">
      <c r="A423" s="1" t="s">
        <v>355</v>
      </c>
      <c r="B423" s="1">
        <v>695.0</v>
      </c>
      <c r="C423" s="3">
        <v>1.709561435E9</v>
      </c>
      <c r="D423" s="3">
        <v>1.713449435E9</v>
      </c>
      <c r="E423" s="1">
        <v>0.0</v>
      </c>
      <c r="F423" s="2"/>
      <c r="G423" s="2"/>
    </row>
    <row r="424">
      <c r="A424" s="1" t="s">
        <v>134</v>
      </c>
      <c r="B424" s="1">
        <v>695.0</v>
      </c>
      <c r="C424" s="3">
        <v>1.709569102E9</v>
      </c>
      <c r="D424" s="3">
        <v>1.713457102E9</v>
      </c>
      <c r="E424" s="1">
        <v>0.0</v>
      </c>
      <c r="F424" s="2"/>
      <c r="G424" s="2"/>
    </row>
    <row r="425">
      <c r="A425" s="1" t="s">
        <v>131</v>
      </c>
      <c r="B425" s="1">
        <v>695.0</v>
      </c>
      <c r="C425" s="3">
        <v>1.709652364E9</v>
      </c>
      <c r="D425" s="3">
        <v>1.713540364E9</v>
      </c>
      <c r="E425" s="1">
        <v>0.0</v>
      </c>
      <c r="F425" s="2"/>
      <c r="G425" s="2"/>
    </row>
    <row r="426">
      <c r="A426" s="1" t="s">
        <v>356</v>
      </c>
      <c r="B426" s="1">
        <v>695.0</v>
      </c>
      <c r="C426" s="3">
        <v>1.709654222E9</v>
      </c>
      <c r="D426" s="3">
        <v>1.713542222E9</v>
      </c>
      <c r="E426" s="1">
        <v>0.0</v>
      </c>
      <c r="F426" s="2"/>
      <c r="G426" s="2"/>
    </row>
    <row r="427">
      <c r="A427" s="1" t="s">
        <v>357</v>
      </c>
      <c r="B427" s="1">
        <v>697.0</v>
      </c>
      <c r="C427" s="3">
        <v>1.70966003E9</v>
      </c>
      <c r="D427" s="3">
        <v>1.71354803E9</v>
      </c>
      <c r="E427" s="1">
        <v>0.0</v>
      </c>
      <c r="F427" s="2"/>
      <c r="G427" s="2"/>
    </row>
    <row r="428">
      <c r="A428" s="1" t="s">
        <v>24</v>
      </c>
      <c r="B428" s="1">
        <v>700.0</v>
      </c>
      <c r="C428" s="3">
        <v>1.709676993E9</v>
      </c>
      <c r="D428" s="3">
        <v>1.713564993E9</v>
      </c>
      <c r="E428" s="1">
        <v>0.0</v>
      </c>
      <c r="F428" s="2"/>
      <c r="G428" s="2"/>
    </row>
    <row r="429">
      <c r="A429" s="1" t="s">
        <v>358</v>
      </c>
      <c r="B429" s="1">
        <v>701.0</v>
      </c>
      <c r="C429" s="3">
        <v>1.709680121E9</v>
      </c>
      <c r="D429" s="3">
        <v>1.713568121E9</v>
      </c>
      <c r="E429" s="1">
        <v>0.0</v>
      </c>
      <c r="F429" s="2"/>
      <c r="G429" s="2"/>
    </row>
    <row r="430">
      <c r="A430" s="1" t="s">
        <v>125</v>
      </c>
      <c r="B430" s="1">
        <v>702.0</v>
      </c>
      <c r="C430" s="3">
        <v>1.709716789E9</v>
      </c>
      <c r="D430" s="3">
        <v>1.713604789E9</v>
      </c>
      <c r="E430" s="1">
        <v>0.0</v>
      </c>
      <c r="F430" s="2"/>
      <c r="G430" s="2"/>
    </row>
    <row r="431">
      <c r="A431" s="1" t="s">
        <v>359</v>
      </c>
      <c r="B431" s="1">
        <v>703.0</v>
      </c>
      <c r="C431" s="3">
        <v>1.709726664E9</v>
      </c>
      <c r="D431" s="3">
        <v>1.713614664E9</v>
      </c>
      <c r="E431" s="1">
        <v>0.0</v>
      </c>
      <c r="F431" s="2"/>
      <c r="G431" s="2"/>
    </row>
    <row r="432">
      <c r="A432" s="1" t="s">
        <v>360</v>
      </c>
      <c r="B432" s="1">
        <v>703.0</v>
      </c>
      <c r="C432" s="3">
        <v>1.709726813E9</v>
      </c>
      <c r="D432" s="3">
        <v>1.713614813E9</v>
      </c>
      <c r="E432" s="1">
        <v>0.0</v>
      </c>
      <c r="F432" s="2"/>
      <c r="G432" s="2"/>
    </row>
    <row r="433">
      <c r="A433" s="1" t="s">
        <v>361</v>
      </c>
      <c r="B433" s="1">
        <v>712.0</v>
      </c>
      <c r="C433" s="3">
        <v>1.709727799E9</v>
      </c>
      <c r="D433" s="3">
        <v>1.713615799E9</v>
      </c>
      <c r="E433" s="1">
        <v>0.0</v>
      </c>
      <c r="F433" s="2"/>
      <c r="G433" s="2"/>
    </row>
    <row r="434">
      <c r="A434" s="1" t="s">
        <v>362</v>
      </c>
      <c r="B434" s="1">
        <v>713.0</v>
      </c>
      <c r="C434" s="3">
        <v>1.709731723E9</v>
      </c>
      <c r="D434" s="3">
        <v>1.713619723E9</v>
      </c>
      <c r="E434" s="1">
        <v>0.0</v>
      </c>
      <c r="F434" s="2"/>
      <c r="G434" s="2"/>
    </row>
    <row r="435">
      <c r="A435" s="1" t="s">
        <v>363</v>
      </c>
      <c r="B435" s="1">
        <v>713.0</v>
      </c>
      <c r="C435" s="3">
        <v>1.709731959E9</v>
      </c>
      <c r="D435" s="3">
        <v>1.713619959E9</v>
      </c>
      <c r="E435" s="1">
        <v>0.0</v>
      </c>
      <c r="F435" s="2"/>
      <c r="G435" s="2"/>
    </row>
    <row r="436">
      <c r="A436" s="1" t="s">
        <v>364</v>
      </c>
      <c r="B436" s="1">
        <v>713.0</v>
      </c>
      <c r="C436" s="3">
        <v>1.709738788E9</v>
      </c>
      <c r="D436" s="3">
        <v>1.713626788E9</v>
      </c>
      <c r="E436" s="1">
        <v>0.0</v>
      </c>
      <c r="F436" s="2"/>
      <c r="G436" s="2"/>
    </row>
    <row r="437">
      <c r="A437" s="1" t="s">
        <v>365</v>
      </c>
      <c r="B437" s="1">
        <v>714.0</v>
      </c>
      <c r="C437" s="3">
        <v>1.709746885E9</v>
      </c>
      <c r="D437" s="3">
        <v>1.713634885E9</v>
      </c>
      <c r="E437" s="1">
        <v>0.0</v>
      </c>
      <c r="F437" s="2"/>
      <c r="G437" s="2"/>
    </row>
    <row r="438">
      <c r="A438" s="1" t="s">
        <v>125</v>
      </c>
      <c r="B438" s="1">
        <v>715.0</v>
      </c>
      <c r="C438" s="3">
        <v>1.709753348E9</v>
      </c>
      <c r="D438" s="3">
        <v>1.713641348E9</v>
      </c>
      <c r="E438" s="1">
        <v>0.0</v>
      </c>
      <c r="F438" s="2"/>
      <c r="G438" s="2"/>
    </row>
    <row r="439">
      <c r="A439" s="1" t="s">
        <v>47</v>
      </c>
      <c r="B439" s="1">
        <v>719.0</v>
      </c>
      <c r="C439" s="3">
        <v>1.709753782E9</v>
      </c>
      <c r="D439" s="3">
        <v>1.713641782E9</v>
      </c>
      <c r="E439" s="1">
        <v>0.0</v>
      </c>
      <c r="F439" s="2"/>
      <c r="G439" s="2"/>
    </row>
    <row r="440">
      <c r="A440" s="1" t="s">
        <v>47</v>
      </c>
      <c r="B440" s="1">
        <v>719.0</v>
      </c>
      <c r="C440" s="3">
        <v>1.709758478E9</v>
      </c>
      <c r="D440" s="3">
        <v>1.713646478E9</v>
      </c>
      <c r="E440" s="1">
        <v>0.0</v>
      </c>
      <c r="F440" s="2"/>
      <c r="G440" s="2"/>
    </row>
    <row r="441">
      <c r="A441" s="1" t="s">
        <v>47</v>
      </c>
      <c r="B441" s="1">
        <v>719.0</v>
      </c>
      <c r="C441" s="3">
        <v>1.709761954E9</v>
      </c>
      <c r="D441" s="3">
        <v>1.713649954E9</v>
      </c>
      <c r="E441" s="1">
        <v>0.0</v>
      </c>
      <c r="F441" s="2"/>
      <c r="G441" s="2"/>
    </row>
    <row r="442">
      <c r="A442" s="1" t="s">
        <v>47</v>
      </c>
      <c r="B442" s="1">
        <v>719.0</v>
      </c>
      <c r="C442" s="3">
        <v>1.709764403E9</v>
      </c>
      <c r="D442" s="3">
        <v>1.713652403E9</v>
      </c>
      <c r="E442" s="1">
        <v>0.0</v>
      </c>
      <c r="F442" s="2"/>
      <c r="G442" s="2"/>
    </row>
    <row r="443">
      <c r="A443" s="1" t="s">
        <v>63</v>
      </c>
      <c r="B443" s="1">
        <v>719.0</v>
      </c>
      <c r="C443" s="3">
        <v>1.709764488E9</v>
      </c>
      <c r="D443" s="3">
        <v>1.713652488E9</v>
      </c>
      <c r="E443" s="1">
        <v>0.0</v>
      </c>
      <c r="F443" s="2"/>
      <c r="G443" s="2"/>
    </row>
    <row r="444">
      <c r="A444" s="1" t="s">
        <v>366</v>
      </c>
      <c r="B444" s="1">
        <v>719.0</v>
      </c>
      <c r="C444" s="3">
        <v>1.709765506E9</v>
      </c>
      <c r="D444" s="3">
        <v>1.713653506E9</v>
      </c>
      <c r="E444" s="1">
        <v>0.0</v>
      </c>
      <c r="F444" s="2"/>
      <c r="G444" s="2"/>
    </row>
    <row r="445">
      <c r="A445" s="1" t="s">
        <v>367</v>
      </c>
      <c r="B445" s="1">
        <v>719.0</v>
      </c>
      <c r="C445" s="3">
        <v>1.709798991E9</v>
      </c>
      <c r="D445" s="3">
        <v>1.713686991E9</v>
      </c>
      <c r="E445" s="1">
        <v>0.0</v>
      </c>
      <c r="F445" s="2"/>
      <c r="G445" s="2"/>
    </row>
    <row r="446">
      <c r="A446" s="1" t="s">
        <v>368</v>
      </c>
      <c r="B446" s="1">
        <v>720.0</v>
      </c>
      <c r="C446" s="3">
        <v>1.709824048E9</v>
      </c>
      <c r="D446" s="3">
        <v>1.713712048E9</v>
      </c>
      <c r="E446" s="1">
        <v>0.0</v>
      </c>
      <c r="F446" s="2"/>
      <c r="G446" s="2"/>
    </row>
    <row r="447">
      <c r="A447" s="1" t="s">
        <v>369</v>
      </c>
      <c r="B447" s="1">
        <v>720.0</v>
      </c>
      <c r="C447" s="3">
        <v>1.709891914E9</v>
      </c>
      <c r="D447" s="3">
        <v>1.713779914E9</v>
      </c>
      <c r="E447" s="1">
        <v>0.0</v>
      </c>
      <c r="F447" s="2"/>
      <c r="G447" s="2"/>
    </row>
    <row r="448">
      <c r="A448" s="1" t="s">
        <v>370</v>
      </c>
      <c r="B448" s="1">
        <v>720.0</v>
      </c>
      <c r="C448" s="3">
        <v>1.709900316E9</v>
      </c>
      <c r="D448" s="3">
        <v>1.713788316E9</v>
      </c>
      <c r="E448" s="1">
        <v>0.0</v>
      </c>
      <c r="F448" s="2"/>
      <c r="G448" s="2"/>
    </row>
    <row r="449">
      <c r="A449" s="1" t="s">
        <v>371</v>
      </c>
      <c r="B449" s="1">
        <v>721.0</v>
      </c>
      <c r="C449" s="3">
        <v>1.709917944E9</v>
      </c>
      <c r="D449" s="3">
        <v>1.713805944E9</v>
      </c>
      <c r="E449" s="1">
        <v>0.0</v>
      </c>
      <c r="F449" s="2"/>
      <c r="G449" s="2"/>
    </row>
    <row r="450">
      <c r="A450" s="1" t="s">
        <v>133</v>
      </c>
      <c r="B450" s="1">
        <v>721.0</v>
      </c>
      <c r="C450" s="3">
        <v>1.709925443E9</v>
      </c>
      <c r="D450" s="3">
        <v>1.713813443E9</v>
      </c>
      <c r="E450" s="1">
        <v>0.0</v>
      </c>
      <c r="F450" s="2"/>
      <c r="G450" s="2"/>
    </row>
    <row r="451">
      <c r="A451" s="1" t="s">
        <v>372</v>
      </c>
      <c r="B451" s="1">
        <v>721.0</v>
      </c>
      <c r="C451" s="3">
        <v>1.709928274E9</v>
      </c>
      <c r="D451" s="3">
        <v>1.713816274E9</v>
      </c>
      <c r="E451" s="1">
        <v>0.0</v>
      </c>
      <c r="F451" s="2"/>
      <c r="G451" s="2"/>
    </row>
    <row r="452">
      <c r="A452" s="1" t="s">
        <v>373</v>
      </c>
      <c r="B452" s="1">
        <v>721.0</v>
      </c>
      <c r="C452" s="3">
        <v>1.709934154E9</v>
      </c>
      <c r="D452" s="3">
        <v>1.713822154E9</v>
      </c>
      <c r="E452" s="1">
        <v>0.0</v>
      </c>
      <c r="F452" s="2"/>
      <c r="G452" s="2"/>
    </row>
    <row r="453">
      <c r="A453" s="1" t="s">
        <v>374</v>
      </c>
      <c r="B453" s="1">
        <v>722.0</v>
      </c>
      <c r="C453" s="3">
        <v>1.710043156E9</v>
      </c>
      <c r="D453" s="3">
        <v>1.713931156E9</v>
      </c>
      <c r="E453" s="1">
        <v>0.0</v>
      </c>
      <c r="F453" s="2"/>
      <c r="G453" s="2"/>
    </row>
    <row r="454">
      <c r="A454" s="1" t="s">
        <v>375</v>
      </c>
      <c r="B454" s="1">
        <v>722.0</v>
      </c>
      <c r="C454" s="3">
        <v>1.710079457E9</v>
      </c>
      <c r="D454" s="3">
        <v>1.713967457E9</v>
      </c>
      <c r="E454" s="1">
        <v>0.0</v>
      </c>
      <c r="F454" s="2"/>
      <c r="G454" s="2"/>
    </row>
    <row r="455">
      <c r="A455" s="1" t="s">
        <v>376</v>
      </c>
      <c r="B455" s="1">
        <v>723.0</v>
      </c>
      <c r="C455" s="3">
        <v>1.710153866E9</v>
      </c>
      <c r="D455" s="3">
        <v>1.714041866E9</v>
      </c>
      <c r="E455" s="1">
        <v>0.0</v>
      </c>
      <c r="F455" s="2"/>
      <c r="G455" s="2"/>
    </row>
    <row r="456">
      <c r="A456" s="1" t="s">
        <v>126</v>
      </c>
      <c r="B456" s="1">
        <v>724.0</v>
      </c>
      <c r="C456" s="3">
        <v>1.710157953E9</v>
      </c>
      <c r="D456" s="3">
        <v>1.714045953E9</v>
      </c>
      <c r="E456" s="1">
        <v>0.0</v>
      </c>
      <c r="F456" s="2"/>
      <c r="G456" s="2"/>
    </row>
    <row r="457">
      <c r="A457" s="1" t="s">
        <v>377</v>
      </c>
      <c r="B457" s="1">
        <v>724.0</v>
      </c>
      <c r="C457" s="3">
        <v>1.710171546E9</v>
      </c>
      <c r="D457" s="3">
        <v>1.714059546E9</v>
      </c>
      <c r="E457" s="1">
        <v>0.0</v>
      </c>
      <c r="F457" s="2"/>
      <c r="G457" s="2"/>
    </row>
    <row r="458">
      <c r="A458" s="1" t="s">
        <v>378</v>
      </c>
      <c r="B458" s="1">
        <v>727.0</v>
      </c>
      <c r="C458" s="3">
        <v>1.710178756E9</v>
      </c>
      <c r="D458" s="3">
        <v>1.714066756E9</v>
      </c>
      <c r="E458" s="1">
        <v>0.0</v>
      </c>
      <c r="F458" s="2"/>
      <c r="G458" s="2"/>
    </row>
    <row r="459">
      <c r="A459" s="1" t="s">
        <v>379</v>
      </c>
      <c r="B459" s="1">
        <v>727.0</v>
      </c>
      <c r="C459" s="3">
        <v>1.700088443E9</v>
      </c>
      <c r="D459" s="3">
        <v>1.703976443E9</v>
      </c>
      <c r="E459" s="1">
        <v>0.0</v>
      </c>
      <c r="F459" s="2"/>
      <c r="G459" s="2"/>
    </row>
    <row r="460">
      <c r="A460" s="1" t="s">
        <v>380</v>
      </c>
      <c r="B460" s="1">
        <v>727.0</v>
      </c>
      <c r="C460" s="3">
        <v>1.710183675E9</v>
      </c>
      <c r="D460" s="3">
        <v>1.714071675E9</v>
      </c>
      <c r="E460" s="1">
        <v>0.0</v>
      </c>
      <c r="F460" s="2"/>
      <c r="G460" s="2"/>
    </row>
    <row r="461">
      <c r="A461" s="1" t="s">
        <v>381</v>
      </c>
      <c r="B461" s="1">
        <v>727.0</v>
      </c>
      <c r="C461" s="3">
        <v>1.710265855E9</v>
      </c>
      <c r="D461" s="3">
        <v>1.714153855E9</v>
      </c>
      <c r="E461" s="1">
        <v>0.0</v>
      </c>
      <c r="F461" s="2"/>
      <c r="G461" s="2"/>
    </row>
    <row r="462">
      <c r="A462" s="1" t="s">
        <v>382</v>
      </c>
      <c r="B462" s="1">
        <v>727.0</v>
      </c>
      <c r="C462" s="3">
        <v>1.710285649E9</v>
      </c>
      <c r="D462" s="3">
        <v>1.714173649E9</v>
      </c>
      <c r="E462" s="1">
        <v>0.0</v>
      </c>
      <c r="F462" s="2"/>
      <c r="G462" s="2"/>
    </row>
    <row r="463">
      <c r="A463" s="1" t="s">
        <v>383</v>
      </c>
      <c r="B463" s="1">
        <v>728.0</v>
      </c>
      <c r="C463" s="3">
        <v>1.710325637E9</v>
      </c>
      <c r="D463" s="3">
        <v>1.714213637E9</v>
      </c>
      <c r="E463" s="1">
        <v>0.0</v>
      </c>
      <c r="F463" s="2"/>
      <c r="G463" s="2"/>
    </row>
    <row r="464">
      <c r="A464" s="1" t="s">
        <v>384</v>
      </c>
      <c r="B464" s="1">
        <v>728.0</v>
      </c>
      <c r="C464" s="3">
        <v>1.710325859E9</v>
      </c>
      <c r="D464" s="3">
        <v>1.714213859E9</v>
      </c>
      <c r="E464" s="1">
        <v>0.0</v>
      </c>
      <c r="F464" s="2"/>
      <c r="G464" s="2"/>
    </row>
    <row r="465">
      <c r="A465" s="1" t="s">
        <v>385</v>
      </c>
      <c r="B465" s="1">
        <v>729.0</v>
      </c>
      <c r="C465" s="3">
        <v>1.710420867E9</v>
      </c>
      <c r="D465" s="3">
        <v>1.714308867E9</v>
      </c>
      <c r="E465" s="1">
        <v>0.0</v>
      </c>
      <c r="F465" s="2"/>
      <c r="G465" s="2"/>
    </row>
    <row r="466">
      <c r="A466" s="1" t="s">
        <v>386</v>
      </c>
      <c r="B466" s="1">
        <v>730.0</v>
      </c>
      <c r="C466" s="3">
        <v>1.710431715E9</v>
      </c>
      <c r="D466" s="3">
        <v>1.714319715E9</v>
      </c>
      <c r="E466" s="1">
        <v>0.0</v>
      </c>
      <c r="F466" s="2"/>
      <c r="G466" s="2"/>
    </row>
    <row r="467">
      <c r="A467" s="1" t="s">
        <v>386</v>
      </c>
      <c r="B467" s="1">
        <v>730.0</v>
      </c>
      <c r="C467" s="3">
        <v>1.710435755E9</v>
      </c>
      <c r="D467" s="3">
        <v>1.714323755E9</v>
      </c>
      <c r="E467" s="1">
        <v>0.0</v>
      </c>
      <c r="F467" s="2"/>
      <c r="G467" s="2"/>
    </row>
    <row r="468">
      <c r="A468" s="1" t="s">
        <v>386</v>
      </c>
      <c r="B468" s="1">
        <v>730.0</v>
      </c>
      <c r="C468" s="3">
        <v>1.710436975E9</v>
      </c>
      <c r="D468" s="3">
        <v>1.714324975E9</v>
      </c>
      <c r="E468" s="1">
        <v>0.0</v>
      </c>
      <c r="F468" s="2"/>
      <c r="G468" s="2"/>
    </row>
    <row r="469">
      <c r="A469" s="1" t="s">
        <v>68</v>
      </c>
      <c r="B469" s="1">
        <v>732.0</v>
      </c>
      <c r="C469" s="3">
        <v>1.710451624E9</v>
      </c>
      <c r="D469" s="3">
        <v>1.714339624E9</v>
      </c>
      <c r="E469" s="1">
        <v>0.0</v>
      </c>
      <c r="F469" s="2"/>
      <c r="G469" s="2"/>
    </row>
    <row r="470">
      <c r="A470" s="1" t="s">
        <v>387</v>
      </c>
      <c r="B470" s="1">
        <v>732.0</v>
      </c>
      <c r="C470" s="3">
        <v>1.710533686E9</v>
      </c>
      <c r="D470" s="3">
        <v>1.714421686E9</v>
      </c>
      <c r="E470" s="1">
        <v>0.0</v>
      </c>
      <c r="F470" s="2"/>
      <c r="G470" s="2"/>
    </row>
    <row r="471">
      <c r="A471" s="1" t="s">
        <v>388</v>
      </c>
      <c r="B471" s="1">
        <v>733.0</v>
      </c>
      <c r="C471" s="3">
        <v>1.710533799E9</v>
      </c>
      <c r="D471" s="3">
        <v>1.714421799E9</v>
      </c>
      <c r="E471" s="1">
        <v>0.0</v>
      </c>
      <c r="F471" s="2"/>
      <c r="G471" s="2"/>
    </row>
    <row r="472">
      <c r="A472" s="1" t="s">
        <v>68</v>
      </c>
      <c r="B472" s="1">
        <v>733.0</v>
      </c>
      <c r="C472" s="3">
        <v>1.710594004E9</v>
      </c>
      <c r="D472" s="3">
        <v>1.714482004E9</v>
      </c>
      <c r="E472" s="1">
        <v>0.0</v>
      </c>
      <c r="F472" s="2"/>
      <c r="G472" s="2"/>
    </row>
    <row r="473">
      <c r="A473" s="1" t="s">
        <v>138</v>
      </c>
      <c r="B473" s="1">
        <v>733.0</v>
      </c>
      <c r="C473" s="3">
        <v>1.710595318E9</v>
      </c>
      <c r="D473" s="3">
        <v>1.714483318E9</v>
      </c>
      <c r="E473" s="1">
        <v>0.0</v>
      </c>
      <c r="F473" s="2"/>
      <c r="G473" s="2"/>
    </row>
    <row r="474">
      <c r="A474" s="1" t="s">
        <v>49</v>
      </c>
      <c r="B474" s="1">
        <v>733.0</v>
      </c>
      <c r="C474" s="3">
        <v>1.7105955E9</v>
      </c>
      <c r="D474" s="3">
        <v>1.7144835E9</v>
      </c>
      <c r="E474" s="1">
        <v>0.0</v>
      </c>
      <c r="F474" s="2"/>
      <c r="G474" s="2"/>
    </row>
    <row r="475">
      <c r="A475" s="1" t="s">
        <v>389</v>
      </c>
      <c r="B475" s="1">
        <v>736.0</v>
      </c>
      <c r="C475" s="3">
        <v>1.710600642E9</v>
      </c>
      <c r="D475" s="3">
        <v>1.714488642E9</v>
      </c>
      <c r="E475" s="1">
        <v>0.0</v>
      </c>
      <c r="F475" s="2"/>
      <c r="G475" s="2"/>
    </row>
    <row r="476">
      <c r="A476" s="1" t="s">
        <v>350</v>
      </c>
      <c r="B476" s="1">
        <v>737.0</v>
      </c>
      <c r="C476" s="3">
        <v>1.710633552E9</v>
      </c>
      <c r="D476" s="3">
        <v>1.714521552E9</v>
      </c>
      <c r="E476" s="1">
        <v>0.0</v>
      </c>
      <c r="F476" s="2"/>
      <c r="G476" s="2"/>
    </row>
    <row r="477">
      <c r="A477" s="1" t="s">
        <v>68</v>
      </c>
      <c r="B477" s="1">
        <v>737.0</v>
      </c>
      <c r="C477" s="3">
        <v>1.710666634E9</v>
      </c>
      <c r="D477" s="3">
        <v>1.714554634E9</v>
      </c>
      <c r="E477" s="1">
        <v>0.0</v>
      </c>
      <c r="F477" s="2"/>
      <c r="G477" s="2"/>
    </row>
    <row r="478">
      <c r="A478" s="1" t="s">
        <v>390</v>
      </c>
      <c r="B478" s="1">
        <v>737.0</v>
      </c>
      <c r="C478" s="3">
        <v>1.710692732E9</v>
      </c>
      <c r="D478" s="3">
        <v>1.714580732E9</v>
      </c>
      <c r="E478" s="1">
        <v>0.0</v>
      </c>
      <c r="F478" s="2"/>
      <c r="G478" s="2"/>
    </row>
    <row r="479">
      <c r="A479" s="1" t="s">
        <v>391</v>
      </c>
      <c r="B479" s="1">
        <v>738.0</v>
      </c>
      <c r="C479" s="3">
        <v>1.700588759E9</v>
      </c>
      <c r="D479" s="3">
        <v>1.704476759E9</v>
      </c>
      <c r="E479" s="1">
        <v>0.0</v>
      </c>
      <c r="F479" s="2"/>
      <c r="G479" s="2"/>
    </row>
    <row r="480">
      <c r="A480" s="1" t="s">
        <v>350</v>
      </c>
      <c r="B480" s="1">
        <v>738.0</v>
      </c>
      <c r="C480" s="3">
        <v>1.710759592E9</v>
      </c>
      <c r="D480" s="3">
        <v>1.714647592E9</v>
      </c>
      <c r="E480" s="1">
        <v>0.0</v>
      </c>
      <c r="F480" s="2"/>
      <c r="G480" s="2"/>
    </row>
    <row r="481">
      <c r="A481" s="1" t="s">
        <v>127</v>
      </c>
      <c r="B481" s="1">
        <v>738.0</v>
      </c>
      <c r="C481" s="3">
        <v>1.710932309E9</v>
      </c>
      <c r="D481" s="3">
        <v>1.714820309E9</v>
      </c>
      <c r="E481" s="1">
        <v>0.0</v>
      </c>
      <c r="F481" s="2"/>
      <c r="G481" s="2"/>
    </row>
    <row r="482">
      <c r="A482" s="1" t="s">
        <v>127</v>
      </c>
      <c r="B482" s="1">
        <v>738.0</v>
      </c>
      <c r="C482" s="3">
        <v>1.710941936E9</v>
      </c>
      <c r="D482" s="3">
        <v>1.714829936E9</v>
      </c>
      <c r="E482" s="1">
        <v>0.0</v>
      </c>
      <c r="F482" s="2"/>
      <c r="G482" s="2"/>
    </row>
    <row r="483">
      <c r="A483" s="1" t="s">
        <v>127</v>
      </c>
      <c r="B483" s="1">
        <v>738.0</v>
      </c>
      <c r="C483" s="3">
        <v>1.71094987E9</v>
      </c>
      <c r="D483" s="3">
        <v>1.71483787E9</v>
      </c>
      <c r="E483" s="1">
        <v>0.0</v>
      </c>
      <c r="F483" s="2"/>
      <c r="G483" s="2"/>
    </row>
    <row r="484">
      <c r="A484" s="1" t="s">
        <v>127</v>
      </c>
      <c r="B484" s="1">
        <v>738.0</v>
      </c>
      <c r="C484" s="3">
        <v>1.710992492E9</v>
      </c>
      <c r="D484" s="3">
        <v>1.714880492E9</v>
      </c>
      <c r="E484" s="1">
        <v>0.0</v>
      </c>
      <c r="F484" s="2"/>
      <c r="G484" s="2"/>
    </row>
    <row r="485">
      <c r="A485" s="1" t="s">
        <v>127</v>
      </c>
      <c r="B485" s="1">
        <v>738.0</v>
      </c>
      <c r="C485" s="3">
        <v>1.71099617E9</v>
      </c>
      <c r="D485" s="3">
        <v>1.71488417E9</v>
      </c>
      <c r="E485" s="1">
        <v>0.0</v>
      </c>
      <c r="F485" s="2"/>
      <c r="G485" s="2"/>
    </row>
    <row r="486">
      <c r="A486" s="1" t="s">
        <v>127</v>
      </c>
      <c r="B486" s="1">
        <v>738.0</v>
      </c>
      <c r="C486" s="3">
        <v>1.711021115E9</v>
      </c>
      <c r="D486" s="3">
        <v>1.714909115E9</v>
      </c>
      <c r="E486" s="1">
        <v>0.0</v>
      </c>
      <c r="F486" s="2"/>
      <c r="G486" s="2"/>
    </row>
    <row r="487">
      <c r="A487" s="1" t="s">
        <v>127</v>
      </c>
      <c r="B487" s="1">
        <v>738.0</v>
      </c>
      <c r="C487" s="3">
        <v>1.711021535E9</v>
      </c>
      <c r="D487" s="3">
        <v>1.714909535E9</v>
      </c>
      <c r="E487" s="1">
        <v>0.0</v>
      </c>
      <c r="F487" s="2"/>
      <c r="G487" s="2"/>
    </row>
    <row r="488">
      <c r="A488" s="1" t="s">
        <v>127</v>
      </c>
      <c r="B488" s="1">
        <v>738.0</v>
      </c>
      <c r="C488" s="3">
        <v>1.711039754E9</v>
      </c>
      <c r="D488" s="3">
        <v>1.714927754E9</v>
      </c>
      <c r="E488" s="1">
        <v>0.0</v>
      </c>
      <c r="F488" s="2"/>
      <c r="G488" s="2"/>
    </row>
    <row r="489">
      <c r="A489" s="1" t="s">
        <v>127</v>
      </c>
      <c r="B489" s="1">
        <v>738.0</v>
      </c>
      <c r="C489" s="3">
        <v>1.711102249E9</v>
      </c>
      <c r="D489" s="3">
        <v>1.714990249E9</v>
      </c>
      <c r="E489" s="1">
        <v>0.0</v>
      </c>
      <c r="F489" s="2"/>
      <c r="G489" s="2"/>
    </row>
    <row r="490">
      <c r="A490" s="1" t="s">
        <v>392</v>
      </c>
      <c r="B490" s="1">
        <v>738.0</v>
      </c>
      <c r="C490" s="3">
        <v>1.701712093E9</v>
      </c>
      <c r="D490" s="3">
        <v>1.705600093E9</v>
      </c>
      <c r="E490" s="1">
        <v>0.0</v>
      </c>
      <c r="F490" s="2"/>
      <c r="G490" s="2"/>
    </row>
    <row r="491">
      <c r="A491" s="1" t="s">
        <v>392</v>
      </c>
      <c r="B491" s="1">
        <v>738.0</v>
      </c>
      <c r="C491" s="3">
        <v>1.701639193E9</v>
      </c>
      <c r="D491" s="3">
        <v>1.705527193E9</v>
      </c>
      <c r="E491" s="1">
        <v>0.0</v>
      </c>
      <c r="F491" s="2"/>
      <c r="G491" s="2"/>
    </row>
    <row r="492">
      <c r="A492" s="1" t="s">
        <v>392</v>
      </c>
      <c r="B492" s="1">
        <v>738.0</v>
      </c>
      <c r="C492" s="3">
        <v>1.711277729E9</v>
      </c>
      <c r="D492" s="3">
        <v>1.715165729E9</v>
      </c>
      <c r="E492" s="1">
        <v>0.0</v>
      </c>
      <c r="F492" s="2"/>
      <c r="G492" s="2"/>
    </row>
    <row r="493">
      <c r="A493" s="1" t="s">
        <v>392</v>
      </c>
      <c r="B493" s="1">
        <v>738.0</v>
      </c>
      <c r="C493" s="3">
        <v>1.711304589E9</v>
      </c>
      <c r="D493" s="3">
        <v>1.715192589E9</v>
      </c>
      <c r="E493" s="1">
        <v>0.0</v>
      </c>
      <c r="F493" s="2"/>
      <c r="G493" s="2"/>
    </row>
    <row r="494">
      <c r="A494" s="1" t="s">
        <v>393</v>
      </c>
      <c r="B494" s="1">
        <v>739.0</v>
      </c>
      <c r="C494" s="3">
        <v>1.711316786E9</v>
      </c>
      <c r="D494" s="3">
        <v>1.715204786E9</v>
      </c>
      <c r="E494" s="1">
        <v>0.0</v>
      </c>
      <c r="F494" s="2"/>
      <c r="G494" s="2"/>
    </row>
    <row r="495">
      <c r="A495" s="1" t="s">
        <v>128</v>
      </c>
      <c r="B495" s="1">
        <v>739.0</v>
      </c>
      <c r="C495" s="3">
        <v>1.711363224E9</v>
      </c>
      <c r="D495" s="3">
        <v>1.715251224E9</v>
      </c>
      <c r="E495" s="1">
        <v>0.0</v>
      </c>
      <c r="F495" s="2"/>
      <c r="G495" s="2"/>
    </row>
    <row r="496">
      <c r="A496" s="1" t="s">
        <v>128</v>
      </c>
      <c r="B496" s="1">
        <v>739.0</v>
      </c>
      <c r="C496" s="3">
        <v>1.711367537E9</v>
      </c>
      <c r="D496" s="3">
        <v>1.715255537E9</v>
      </c>
      <c r="E496" s="1">
        <v>0.0</v>
      </c>
      <c r="F496" s="2"/>
      <c r="G496" s="2"/>
    </row>
    <row r="497">
      <c r="A497" s="1" t="s">
        <v>135</v>
      </c>
      <c r="B497" s="1">
        <v>739.0</v>
      </c>
      <c r="C497" s="3">
        <v>1.711369088E9</v>
      </c>
      <c r="D497" s="3">
        <v>1.715257088E9</v>
      </c>
      <c r="E497" s="1">
        <v>0.0</v>
      </c>
      <c r="F497" s="2"/>
      <c r="G497" s="2"/>
    </row>
    <row r="498">
      <c r="A498" s="1" t="s">
        <v>135</v>
      </c>
      <c r="B498" s="1">
        <v>739.0</v>
      </c>
      <c r="C498" s="3">
        <v>1.711381308E9</v>
      </c>
      <c r="D498" s="3">
        <v>1.715269308E9</v>
      </c>
      <c r="E498" s="1">
        <v>0.0</v>
      </c>
      <c r="F498" s="2"/>
      <c r="G498" s="2"/>
    </row>
    <row r="499">
      <c r="A499" s="1" t="s">
        <v>135</v>
      </c>
      <c r="B499" s="1">
        <v>739.0</v>
      </c>
      <c r="C499" s="3">
        <v>1.711381728E9</v>
      </c>
      <c r="D499" s="3">
        <v>1.715269728E9</v>
      </c>
      <c r="E499" s="1">
        <v>0.0</v>
      </c>
      <c r="F499" s="2"/>
      <c r="G499" s="2"/>
    </row>
    <row r="500">
      <c r="A500" s="1" t="s">
        <v>135</v>
      </c>
      <c r="B500" s="1">
        <v>739.0</v>
      </c>
      <c r="C500" s="3">
        <v>1.711382895E9</v>
      </c>
      <c r="D500" s="3">
        <v>1.715270895E9</v>
      </c>
      <c r="E500" s="1">
        <v>0.0</v>
      </c>
      <c r="F500" s="2"/>
      <c r="G500" s="2"/>
    </row>
    <row r="501">
      <c r="A501" s="1" t="s">
        <v>394</v>
      </c>
      <c r="B501" s="1">
        <v>739.0</v>
      </c>
      <c r="C501" s="3">
        <v>1.711383285E9</v>
      </c>
      <c r="D501" s="3">
        <v>1.715271285E9</v>
      </c>
      <c r="E501" s="1">
        <v>0.0</v>
      </c>
      <c r="F501" s="2"/>
      <c r="G501" s="2"/>
    </row>
    <row r="502">
      <c r="A502" s="1" t="s">
        <v>395</v>
      </c>
      <c r="B502" s="1">
        <v>740.0</v>
      </c>
      <c r="C502" s="3">
        <v>1.711452243E9</v>
      </c>
      <c r="D502" s="3">
        <v>1.715340243E9</v>
      </c>
      <c r="E502" s="1">
        <v>0.0</v>
      </c>
      <c r="F502" s="2"/>
      <c r="G502" s="2"/>
    </row>
    <row r="503">
      <c r="A503" s="1" t="s">
        <v>141</v>
      </c>
      <c r="B503" s="1">
        <v>740.0</v>
      </c>
      <c r="C503" s="3">
        <v>1.711452959E9</v>
      </c>
      <c r="D503" s="3">
        <v>1.715340959E9</v>
      </c>
      <c r="E503" s="1">
        <v>0.0</v>
      </c>
      <c r="F503" s="2"/>
      <c r="G503" s="2"/>
    </row>
    <row r="504">
      <c r="A504" s="1" t="s">
        <v>396</v>
      </c>
      <c r="B504" s="1">
        <v>740.0</v>
      </c>
      <c r="C504" s="3">
        <v>1.711468453E9</v>
      </c>
      <c r="D504" s="3">
        <v>1.715356453E9</v>
      </c>
      <c r="E504" s="1">
        <v>0.0</v>
      </c>
      <c r="F504" s="2"/>
      <c r="G504" s="2"/>
    </row>
    <row r="505">
      <c r="A505" s="1" t="s">
        <v>122</v>
      </c>
      <c r="B505" s="1">
        <v>740.0</v>
      </c>
      <c r="C505" s="3">
        <v>1.6989361E9</v>
      </c>
      <c r="D505" s="3">
        <v>1.7028241E9</v>
      </c>
      <c r="E505" s="1">
        <v>0.0</v>
      </c>
      <c r="F505" s="2"/>
      <c r="G505" s="2"/>
    </row>
    <row r="506">
      <c r="A506" s="1" t="s">
        <v>397</v>
      </c>
      <c r="B506" s="1">
        <v>740.0</v>
      </c>
      <c r="C506" s="3">
        <v>1.711478607E9</v>
      </c>
      <c r="D506" s="3">
        <v>1.715366607E9</v>
      </c>
      <c r="E506" s="1">
        <v>0.0</v>
      </c>
      <c r="F506" s="2"/>
      <c r="G506" s="2"/>
    </row>
    <row r="507">
      <c r="A507" s="1" t="s">
        <v>398</v>
      </c>
      <c r="B507" s="1">
        <v>741.0</v>
      </c>
      <c r="C507" s="3">
        <v>1.711538752E9</v>
      </c>
      <c r="D507" s="3">
        <v>1.715426752E9</v>
      </c>
      <c r="E507" s="1">
        <v>0.0</v>
      </c>
      <c r="F507" s="2"/>
      <c r="G507" s="2"/>
    </row>
    <row r="508">
      <c r="A508" s="1" t="s">
        <v>399</v>
      </c>
      <c r="B508" s="1">
        <v>741.0</v>
      </c>
      <c r="C508" s="3">
        <v>1.711628681E9</v>
      </c>
      <c r="D508" s="3">
        <v>1.715516681E9</v>
      </c>
      <c r="E508" s="1">
        <v>0.0</v>
      </c>
      <c r="F508" s="2"/>
      <c r="G508" s="2"/>
    </row>
    <row r="509">
      <c r="A509" s="1" t="s">
        <v>400</v>
      </c>
      <c r="B509" s="1">
        <v>741.0</v>
      </c>
      <c r="C509" s="3">
        <v>1.711642591E9</v>
      </c>
      <c r="D509" s="3">
        <v>1.715530591E9</v>
      </c>
      <c r="E509" s="1">
        <v>0.0</v>
      </c>
      <c r="F509" s="2"/>
      <c r="G509" s="2"/>
    </row>
    <row r="510">
      <c r="A510" s="1" t="s">
        <v>401</v>
      </c>
      <c r="B510" s="1">
        <v>742.0</v>
      </c>
      <c r="C510" s="3">
        <v>1.711666268E9</v>
      </c>
      <c r="D510" s="3">
        <v>1.715554268E9</v>
      </c>
      <c r="E510" s="1">
        <v>0.0</v>
      </c>
      <c r="F510" s="2"/>
      <c r="G510" s="2"/>
    </row>
    <row r="511">
      <c r="A511" s="1" t="s">
        <v>402</v>
      </c>
      <c r="B511" s="1">
        <v>742.0</v>
      </c>
      <c r="C511" s="3">
        <v>1.711701815E9</v>
      </c>
      <c r="D511" s="3">
        <v>1.715589815E9</v>
      </c>
      <c r="E511" s="1">
        <v>0.0</v>
      </c>
      <c r="F511" s="2"/>
      <c r="G511" s="2"/>
    </row>
    <row r="512">
      <c r="A512" s="1" t="s">
        <v>130</v>
      </c>
      <c r="B512" s="1">
        <v>742.0</v>
      </c>
      <c r="C512" s="3">
        <v>1.711714635E9</v>
      </c>
      <c r="D512" s="3">
        <v>1.715602635E9</v>
      </c>
      <c r="E512" s="1">
        <v>0.0</v>
      </c>
      <c r="F512" s="2"/>
      <c r="G512" s="2"/>
    </row>
    <row r="513">
      <c r="A513" s="1" t="s">
        <v>403</v>
      </c>
      <c r="B513" s="1">
        <v>742.0</v>
      </c>
      <c r="C513" s="3">
        <v>1.711714911E9</v>
      </c>
      <c r="D513" s="3">
        <v>1.715602911E9</v>
      </c>
      <c r="E513" s="1">
        <v>0.0</v>
      </c>
      <c r="F513" s="2"/>
      <c r="G513" s="2"/>
    </row>
    <row r="514">
      <c r="A514" s="1" t="s">
        <v>404</v>
      </c>
      <c r="B514" s="1">
        <v>742.0</v>
      </c>
      <c r="C514" s="3">
        <v>1.711722556E9</v>
      </c>
      <c r="D514" s="3">
        <v>1.715610556E9</v>
      </c>
      <c r="E514" s="1">
        <v>0.0</v>
      </c>
      <c r="F514" s="2"/>
      <c r="G514" s="2"/>
    </row>
    <row r="515">
      <c r="A515" s="1" t="s">
        <v>405</v>
      </c>
      <c r="B515" s="1">
        <v>743.0</v>
      </c>
      <c r="C515" s="3">
        <v>1.711725898E9</v>
      </c>
      <c r="D515" s="3">
        <v>1.715613898E9</v>
      </c>
      <c r="E515" s="1">
        <v>0.0</v>
      </c>
      <c r="F515" s="2"/>
      <c r="G515" s="2"/>
    </row>
    <row r="516">
      <c r="A516" s="1" t="s">
        <v>406</v>
      </c>
      <c r="B516" s="1">
        <v>745.0</v>
      </c>
      <c r="C516" s="3">
        <v>1.711728239E9</v>
      </c>
      <c r="D516" s="3">
        <v>1.715616239E9</v>
      </c>
      <c r="E516" s="1">
        <v>0.0</v>
      </c>
      <c r="F516" s="2"/>
      <c r="G516" s="2"/>
    </row>
    <row r="517">
      <c r="A517" s="1" t="s">
        <v>407</v>
      </c>
      <c r="B517" s="1">
        <v>745.0</v>
      </c>
      <c r="C517" s="3">
        <v>1.711731827E9</v>
      </c>
      <c r="D517" s="3">
        <v>1.715619827E9</v>
      </c>
      <c r="E517" s="1">
        <v>0.0</v>
      </c>
      <c r="F517" s="2"/>
      <c r="G517" s="2"/>
    </row>
    <row r="518">
      <c r="A518" s="1" t="s">
        <v>6</v>
      </c>
      <c r="B518" s="1">
        <v>746.0</v>
      </c>
      <c r="C518" s="3">
        <v>1.703336204E9</v>
      </c>
      <c r="D518" s="3">
        <v>1.707224204E9</v>
      </c>
      <c r="E518" s="1">
        <v>0.0</v>
      </c>
      <c r="F518" s="2"/>
      <c r="G518" s="2"/>
    </row>
    <row r="519">
      <c r="A519" s="1" t="s">
        <v>135</v>
      </c>
      <c r="B519" s="1">
        <v>746.0</v>
      </c>
      <c r="C519" s="3">
        <v>1.711795006E9</v>
      </c>
      <c r="D519" s="3">
        <v>1.715683006E9</v>
      </c>
      <c r="E519" s="1">
        <v>0.0</v>
      </c>
      <c r="F519" s="2"/>
      <c r="G519" s="2"/>
    </row>
    <row r="520">
      <c r="A520" s="1" t="s">
        <v>135</v>
      </c>
      <c r="B520" s="1">
        <v>746.0</v>
      </c>
      <c r="C520" s="3">
        <v>1.711803097E9</v>
      </c>
      <c r="D520" s="3">
        <v>1.715691097E9</v>
      </c>
      <c r="E520" s="1">
        <v>0.0</v>
      </c>
      <c r="F520" s="2"/>
      <c r="G520" s="2"/>
    </row>
    <row r="521">
      <c r="A521" s="1" t="s">
        <v>119</v>
      </c>
      <c r="B521" s="1">
        <v>746.0</v>
      </c>
      <c r="C521" s="3">
        <v>1.711803307E9</v>
      </c>
      <c r="D521" s="3">
        <v>1.715691307E9</v>
      </c>
      <c r="E521" s="1">
        <v>0.0</v>
      </c>
      <c r="F521" s="2"/>
      <c r="G521" s="2"/>
    </row>
    <row r="522">
      <c r="A522" s="1" t="s">
        <v>408</v>
      </c>
      <c r="B522" s="1">
        <v>746.0</v>
      </c>
      <c r="C522" s="3">
        <v>1.711805669E9</v>
      </c>
      <c r="D522" s="3">
        <v>1.715693669E9</v>
      </c>
      <c r="E522" s="1">
        <v>0.0</v>
      </c>
      <c r="F522" s="2"/>
      <c r="G522" s="2"/>
    </row>
    <row r="523">
      <c r="A523" s="1" t="s">
        <v>46</v>
      </c>
      <c r="B523" s="1">
        <v>746.0</v>
      </c>
      <c r="C523" s="3">
        <v>1.711846738E9</v>
      </c>
      <c r="D523" s="3">
        <v>1.715734738E9</v>
      </c>
      <c r="E523" s="1">
        <v>0.0</v>
      </c>
      <c r="F523" s="2"/>
      <c r="G523" s="2"/>
    </row>
    <row r="524">
      <c r="A524" s="1" t="s">
        <v>64</v>
      </c>
      <c r="B524" s="1">
        <v>746.0</v>
      </c>
      <c r="C524" s="3">
        <v>1.711973102E9</v>
      </c>
      <c r="D524" s="3">
        <v>1.715861102E9</v>
      </c>
      <c r="E524" s="1">
        <v>0.0</v>
      </c>
      <c r="F524" s="2"/>
      <c r="G524" s="2"/>
    </row>
    <row r="525">
      <c r="A525" s="1" t="s">
        <v>409</v>
      </c>
      <c r="B525" s="1">
        <v>746.0</v>
      </c>
      <c r="C525" s="3">
        <v>1.71197724E9</v>
      </c>
      <c r="D525" s="3">
        <v>1.71586524E9</v>
      </c>
      <c r="E525" s="1">
        <v>0.0</v>
      </c>
      <c r="F525" s="2"/>
      <c r="G525" s="2"/>
    </row>
    <row r="526">
      <c r="A526" s="1" t="s">
        <v>410</v>
      </c>
      <c r="B526" s="1">
        <v>746.0</v>
      </c>
      <c r="C526" s="3">
        <v>1.711980642E9</v>
      </c>
      <c r="D526" s="3">
        <v>1.715868642E9</v>
      </c>
      <c r="E526" s="1">
        <v>0.0</v>
      </c>
      <c r="F526" s="2"/>
      <c r="G526" s="2"/>
    </row>
    <row r="527">
      <c r="A527" s="1" t="s">
        <v>6</v>
      </c>
      <c r="B527" s="1">
        <v>746.0</v>
      </c>
      <c r="C527" s="3">
        <v>1.711982313E9</v>
      </c>
      <c r="D527" s="3">
        <v>1.715870313E9</v>
      </c>
      <c r="E527" s="1">
        <v>0.0</v>
      </c>
      <c r="F527" s="2"/>
      <c r="G527" s="2"/>
    </row>
    <row r="528">
      <c r="A528" s="1" t="s">
        <v>6</v>
      </c>
      <c r="B528" s="1">
        <v>746.0</v>
      </c>
      <c r="C528" s="3">
        <v>1.711992449E9</v>
      </c>
      <c r="D528" s="3">
        <v>1.715880449E9</v>
      </c>
      <c r="E528" s="1">
        <v>0.0</v>
      </c>
      <c r="F528" s="2"/>
      <c r="G528" s="2"/>
    </row>
    <row r="529">
      <c r="A529" s="1" t="s">
        <v>6</v>
      </c>
      <c r="B529" s="1">
        <v>746.0</v>
      </c>
      <c r="C529" s="3">
        <v>1.712040255E9</v>
      </c>
      <c r="D529" s="3">
        <v>1.715928255E9</v>
      </c>
      <c r="E529" s="1">
        <v>0.0</v>
      </c>
      <c r="F529" s="2"/>
      <c r="G529" s="2"/>
    </row>
    <row r="530">
      <c r="A530" s="1" t="s">
        <v>6</v>
      </c>
      <c r="B530" s="1">
        <v>746.0</v>
      </c>
      <c r="C530" s="3">
        <v>1.712052713E9</v>
      </c>
      <c r="D530" s="3">
        <v>1.715940713E9</v>
      </c>
      <c r="E530" s="1">
        <v>0.0</v>
      </c>
      <c r="F530" s="2"/>
      <c r="G530" s="2"/>
    </row>
    <row r="531">
      <c r="A531" s="1" t="s">
        <v>6</v>
      </c>
      <c r="B531" s="1">
        <v>746.0</v>
      </c>
      <c r="C531" s="3">
        <v>1.712055814E9</v>
      </c>
      <c r="D531" s="3">
        <v>1.715943814E9</v>
      </c>
      <c r="E531" s="1">
        <v>0.0</v>
      </c>
      <c r="F531" s="2"/>
      <c r="G531" s="2"/>
    </row>
    <row r="532">
      <c r="A532" s="1" t="s">
        <v>6</v>
      </c>
      <c r="B532" s="1">
        <v>746.0</v>
      </c>
      <c r="C532" s="3">
        <v>1.712073026E9</v>
      </c>
      <c r="D532" s="3">
        <v>1.715961026E9</v>
      </c>
      <c r="E532" s="1">
        <v>0.0</v>
      </c>
      <c r="F532" s="2"/>
      <c r="G532" s="2"/>
    </row>
    <row r="533">
      <c r="A533" s="1" t="s">
        <v>411</v>
      </c>
      <c r="B533" s="1">
        <v>746.0</v>
      </c>
      <c r="C533" s="3">
        <v>1.712073223E9</v>
      </c>
      <c r="D533" s="3">
        <v>1.715961223E9</v>
      </c>
      <c r="E533" s="1">
        <v>0.0</v>
      </c>
      <c r="F533" s="2"/>
      <c r="G533" s="2"/>
    </row>
    <row r="534">
      <c r="A534" s="1" t="s">
        <v>412</v>
      </c>
      <c r="B534" s="1">
        <v>746.0</v>
      </c>
      <c r="C534" s="3">
        <v>1.712073482E9</v>
      </c>
      <c r="D534" s="3">
        <v>1.715961482E9</v>
      </c>
      <c r="E534" s="1">
        <v>0.0</v>
      </c>
      <c r="F534" s="2"/>
      <c r="G534" s="2"/>
    </row>
    <row r="535">
      <c r="A535" s="1" t="s">
        <v>413</v>
      </c>
      <c r="B535" s="1">
        <v>746.0</v>
      </c>
      <c r="C535" s="3">
        <v>1.712077308E9</v>
      </c>
      <c r="D535" s="3">
        <v>1.715965308E9</v>
      </c>
      <c r="E535" s="1">
        <v>0.0</v>
      </c>
      <c r="F535" s="2"/>
      <c r="G535" s="2"/>
    </row>
    <row r="536">
      <c r="A536" s="1" t="s">
        <v>414</v>
      </c>
      <c r="B536" s="1">
        <v>747.0</v>
      </c>
      <c r="C536" s="3">
        <v>1.712080794E9</v>
      </c>
      <c r="D536" s="3">
        <v>1.715968794E9</v>
      </c>
      <c r="E536" s="1">
        <v>0.0</v>
      </c>
      <c r="F536" s="2"/>
      <c r="G536" s="2"/>
    </row>
    <row r="537">
      <c r="A537" s="1" t="s">
        <v>415</v>
      </c>
      <c r="B537" s="1">
        <v>747.0</v>
      </c>
      <c r="C537" s="3">
        <v>1.712082892E9</v>
      </c>
      <c r="D537" s="3">
        <v>1.715970892E9</v>
      </c>
      <c r="E537" s="1">
        <v>0.0</v>
      </c>
      <c r="F537" s="2"/>
      <c r="G537" s="2"/>
    </row>
    <row r="538">
      <c r="A538" s="1" t="s">
        <v>416</v>
      </c>
      <c r="B538" s="1">
        <v>747.0</v>
      </c>
      <c r="C538" s="3">
        <v>1.712085064E9</v>
      </c>
      <c r="D538" s="3">
        <v>1.715973064E9</v>
      </c>
      <c r="E538" s="1">
        <v>0.0</v>
      </c>
      <c r="F538" s="2"/>
      <c r="G538" s="2"/>
    </row>
    <row r="539">
      <c r="A539" s="1" t="s">
        <v>86</v>
      </c>
      <c r="B539" s="1">
        <v>747.0</v>
      </c>
      <c r="C539" s="3">
        <v>1.712089182E9</v>
      </c>
      <c r="D539" s="3">
        <v>1.715977182E9</v>
      </c>
      <c r="E539" s="1">
        <v>0.0</v>
      </c>
      <c r="F539" s="2"/>
      <c r="G539" s="2"/>
    </row>
    <row r="540">
      <c r="A540" s="1" t="s">
        <v>6</v>
      </c>
      <c r="B540" s="1">
        <v>747.0</v>
      </c>
      <c r="C540" s="3">
        <v>1.712092069E9</v>
      </c>
      <c r="D540" s="3">
        <v>1.715980069E9</v>
      </c>
      <c r="E540" s="1">
        <v>0.0</v>
      </c>
      <c r="F540" s="2"/>
      <c r="G540" s="2"/>
    </row>
    <row r="541">
      <c r="A541" s="1" t="s">
        <v>6</v>
      </c>
      <c r="B541" s="1">
        <v>748.0</v>
      </c>
      <c r="C541" s="3">
        <v>1.712145679E9</v>
      </c>
      <c r="D541" s="3">
        <v>1.716033679E9</v>
      </c>
      <c r="E541" s="1">
        <v>0.0</v>
      </c>
      <c r="F541" s="2"/>
      <c r="G541" s="2"/>
    </row>
    <row r="542">
      <c r="A542" s="1" t="s">
        <v>6</v>
      </c>
      <c r="B542" s="1">
        <v>748.0</v>
      </c>
      <c r="C542" s="3">
        <v>1.712145988E9</v>
      </c>
      <c r="D542" s="3">
        <v>1.716033988E9</v>
      </c>
      <c r="E542" s="1">
        <v>0.0</v>
      </c>
      <c r="F542" s="2"/>
      <c r="G542" s="2"/>
    </row>
    <row r="543">
      <c r="A543" s="1" t="s">
        <v>142</v>
      </c>
      <c r="B543" s="1">
        <v>756.0</v>
      </c>
      <c r="C543" s="3">
        <v>1.712146515E9</v>
      </c>
      <c r="D543" s="3">
        <v>1.716034515E9</v>
      </c>
      <c r="E543" s="1">
        <v>0.0</v>
      </c>
      <c r="F543" s="2"/>
      <c r="G543" s="2"/>
    </row>
    <row r="544">
      <c r="A544" s="1" t="s">
        <v>196</v>
      </c>
      <c r="B544" s="1">
        <v>648.0</v>
      </c>
      <c r="C544" s="3">
        <v>1.712147446E9</v>
      </c>
      <c r="D544" s="3">
        <v>1.716035446E9</v>
      </c>
      <c r="E544" s="1">
        <v>0.0</v>
      </c>
      <c r="F544" s="2"/>
      <c r="G544" s="2"/>
    </row>
    <row r="545">
      <c r="A545" s="1" t="s">
        <v>417</v>
      </c>
      <c r="B545" s="1">
        <v>594.0</v>
      </c>
      <c r="C545" s="3">
        <v>1.712147628E9</v>
      </c>
      <c r="D545" s="3">
        <v>1.716035628E9</v>
      </c>
      <c r="E545" s="1">
        <v>0.0</v>
      </c>
      <c r="F545" s="2"/>
      <c r="G545" s="2"/>
    </row>
    <row r="546">
      <c r="A546" s="1" t="s">
        <v>418</v>
      </c>
      <c r="B546" s="1">
        <v>540.0</v>
      </c>
      <c r="C546" s="3">
        <v>1.712148691E9</v>
      </c>
      <c r="D546" s="3">
        <v>1.716036691E9</v>
      </c>
      <c r="E546" s="1">
        <v>0.0</v>
      </c>
      <c r="F546" s="2"/>
      <c r="G546" s="2"/>
    </row>
    <row r="547">
      <c r="A547" s="1" t="s">
        <v>419</v>
      </c>
      <c r="B547" s="1">
        <v>540.0</v>
      </c>
      <c r="C547" s="3">
        <v>1.712149016E9</v>
      </c>
      <c r="D547" s="3">
        <v>1.716037016E9</v>
      </c>
      <c r="E547" s="1">
        <v>0.0</v>
      </c>
      <c r="F547" s="2"/>
      <c r="G547" s="2"/>
    </row>
    <row r="548">
      <c r="A548" s="1" t="s">
        <v>144</v>
      </c>
      <c r="B548" s="1">
        <v>513.0</v>
      </c>
      <c r="C548" s="3">
        <v>1.712150473E9</v>
      </c>
      <c r="D548" s="3">
        <v>1.716038473E9</v>
      </c>
      <c r="E548" s="1">
        <v>0.0</v>
      </c>
      <c r="F548" s="2"/>
      <c r="G548" s="2"/>
    </row>
    <row r="549">
      <c r="A549" s="1" t="s">
        <v>194</v>
      </c>
      <c r="B549" s="1">
        <v>486.0</v>
      </c>
      <c r="C549" s="3">
        <v>1.712151341E9</v>
      </c>
      <c r="D549" s="3">
        <v>1.716039341E9</v>
      </c>
      <c r="E549" s="1">
        <v>0.0</v>
      </c>
      <c r="F549" s="2"/>
      <c r="G549" s="2"/>
    </row>
    <row r="550">
      <c r="A550" s="1" t="s">
        <v>420</v>
      </c>
      <c r="B550" s="1">
        <v>432.0</v>
      </c>
      <c r="C550" s="3">
        <v>1.712151621E9</v>
      </c>
      <c r="D550" s="3">
        <v>1.716039621E9</v>
      </c>
      <c r="E550" s="1">
        <v>0.0</v>
      </c>
      <c r="F550" s="2"/>
      <c r="G550" s="2"/>
    </row>
    <row r="551">
      <c r="A551" s="1" t="s">
        <v>210</v>
      </c>
      <c r="B551" s="1">
        <v>432.0</v>
      </c>
      <c r="C551" s="3">
        <v>1.712151961E9</v>
      </c>
      <c r="D551" s="3">
        <v>1.716039961E9</v>
      </c>
      <c r="E551" s="1">
        <v>0.0</v>
      </c>
      <c r="F551" s="2"/>
      <c r="G551" s="2"/>
    </row>
    <row r="552">
      <c r="A552" s="1" t="s">
        <v>196</v>
      </c>
      <c r="B552" s="1">
        <v>405.0</v>
      </c>
      <c r="C552" s="3">
        <v>1.712152323E9</v>
      </c>
      <c r="D552" s="3">
        <v>1.716040323E9</v>
      </c>
      <c r="E552" s="1">
        <v>0.0</v>
      </c>
      <c r="F552" s="2"/>
      <c r="G552" s="2"/>
    </row>
    <row r="553">
      <c r="A553" s="1" t="s">
        <v>421</v>
      </c>
      <c r="B553" s="1">
        <v>378.0</v>
      </c>
      <c r="C553" s="3">
        <v>1.71215495E9</v>
      </c>
      <c r="D553" s="3">
        <v>1.71604295E9</v>
      </c>
      <c r="E553" s="1">
        <v>0.0</v>
      </c>
      <c r="F553" s="2"/>
      <c r="G553" s="2"/>
    </row>
    <row r="554">
      <c r="A554" s="1" t="s">
        <v>422</v>
      </c>
      <c r="B554" s="1">
        <v>324.0</v>
      </c>
      <c r="C554" s="3">
        <v>1.71215539E9</v>
      </c>
      <c r="D554" s="3">
        <v>1.71604339E9</v>
      </c>
      <c r="E554" s="1">
        <v>0.0</v>
      </c>
      <c r="F554" s="2"/>
      <c r="G554" s="2"/>
    </row>
    <row r="555">
      <c r="A555" s="1" t="s">
        <v>423</v>
      </c>
      <c r="B555" s="1">
        <v>270.0</v>
      </c>
      <c r="C555" s="3">
        <v>1.712161427E9</v>
      </c>
      <c r="D555" s="3">
        <v>1.716049427E9</v>
      </c>
      <c r="E555" s="1">
        <v>0.0</v>
      </c>
      <c r="F555" s="2"/>
      <c r="G555" s="2"/>
    </row>
    <row r="556">
      <c r="A556" s="1" t="s">
        <v>203</v>
      </c>
      <c r="B556" s="1">
        <v>270.0</v>
      </c>
      <c r="C556" s="3">
        <v>1.712163232E9</v>
      </c>
      <c r="D556" s="3">
        <v>1.716051232E9</v>
      </c>
      <c r="E556" s="1">
        <v>0.0</v>
      </c>
      <c r="F556" s="2"/>
      <c r="G556" s="2"/>
    </row>
    <row r="557">
      <c r="A557" s="1" t="s">
        <v>424</v>
      </c>
      <c r="B557" s="1">
        <v>270.0</v>
      </c>
      <c r="C557" s="3">
        <v>1.712181893E9</v>
      </c>
      <c r="D557" s="3">
        <v>1.716069893E9</v>
      </c>
      <c r="E557" s="1">
        <v>0.0</v>
      </c>
      <c r="F557" s="2"/>
      <c r="G557" s="2"/>
    </row>
    <row r="558">
      <c r="A558" s="1" t="s">
        <v>425</v>
      </c>
      <c r="B558" s="1">
        <v>270.0</v>
      </c>
      <c r="C558" s="3">
        <v>1.712184414E9</v>
      </c>
      <c r="D558" s="3">
        <v>1.716072414E9</v>
      </c>
      <c r="E558" s="1">
        <v>0.0</v>
      </c>
      <c r="F558" s="2"/>
      <c r="G558" s="2"/>
    </row>
    <row r="559">
      <c r="A559" s="1" t="s">
        <v>426</v>
      </c>
      <c r="B559" s="1">
        <v>270.0</v>
      </c>
      <c r="C559" s="3">
        <v>1.71221339E9</v>
      </c>
      <c r="D559" s="3">
        <v>1.71610139E9</v>
      </c>
      <c r="E559" s="1">
        <v>0.0</v>
      </c>
      <c r="F559" s="2"/>
      <c r="G559" s="2"/>
    </row>
    <row r="560">
      <c r="A560" s="1" t="s">
        <v>427</v>
      </c>
      <c r="B560" s="1">
        <v>270.0</v>
      </c>
      <c r="C560" s="3">
        <v>1.712220024E9</v>
      </c>
      <c r="D560" s="3">
        <v>1.716108024E9</v>
      </c>
      <c r="E560" s="1">
        <v>0.0</v>
      </c>
      <c r="F560" s="2"/>
      <c r="G560" s="2"/>
    </row>
    <row r="561">
      <c r="A561" s="1" t="s">
        <v>428</v>
      </c>
      <c r="B561" s="1">
        <v>270.0</v>
      </c>
      <c r="C561" s="3">
        <v>1.712224344E9</v>
      </c>
      <c r="D561" s="3">
        <v>1.716112344E9</v>
      </c>
      <c r="E561" s="1">
        <v>0.0</v>
      </c>
      <c r="F561" s="2"/>
      <c r="G561" s="2"/>
    </row>
    <row r="562">
      <c r="A562" s="1" t="s">
        <v>429</v>
      </c>
      <c r="B562" s="1">
        <v>270.0</v>
      </c>
      <c r="C562" s="3">
        <v>1.712228828E9</v>
      </c>
      <c r="D562" s="3">
        <v>1.716116828E9</v>
      </c>
      <c r="E562" s="1">
        <v>0.0</v>
      </c>
      <c r="F562" s="2"/>
      <c r="G562" s="2"/>
    </row>
    <row r="563">
      <c r="A563" s="1" t="s">
        <v>430</v>
      </c>
      <c r="B563" s="1">
        <v>270.0</v>
      </c>
      <c r="C563" s="3">
        <v>1.712233882E9</v>
      </c>
      <c r="D563" s="3">
        <v>1.716121882E9</v>
      </c>
      <c r="E563" s="1">
        <v>0.0</v>
      </c>
      <c r="F563" s="2"/>
      <c r="G563" s="2"/>
    </row>
    <row r="564">
      <c r="A564" s="1" t="s">
        <v>431</v>
      </c>
      <c r="B564" s="1">
        <v>270.0</v>
      </c>
      <c r="C564" s="3">
        <v>1.712244425E9</v>
      </c>
      <c r="D564" s="3">
        <v>1.716132425E9</v>
      </c>
      <c r="E564" s="1">
        <v>0.0</v>
      </c>
      <c r="F564" s="2"/>
      <c r="G564" s="2"/>
    </row>
    <row r="565">
      <c r="A565" s="1" t="s">
        <v>432</v>
      </c>
      <c r="B565" s="1">
        <v>270.0</v>
      </c>
      <c r="C565" s="3">
        <v>1.700136415E9</v>
      </c>
      <c r="D565" s="3">
        <v>1.704024415E9</v>
      </c>
      <c r="E565" s="1">
        <v>0.0</v>
      </c>
      <c r="F565" s="2"/>
      <c r="G565" s="2"/>
    </row>
    <row r="566">
      <c r="A566" s="1" t="s">
        <v>433</v>
      </c>
      <c r="B566" s="1">
        <v>270.0</v>
      </c>
      <c r="C566" s="3">
        <v>1.698931629E9</v>
      </c>
      <c r="D566" s="3">
        <v>1.702819629E9</v>
      </c>
      <c r="E566" s="1">
        <v>0.0</v>
      </c>
      <c r="F566" s="2"/>
      <c r="G566" s="2"/>
    </row>
    <row r="567">
      <c r="A567" s="1" t="s">
        <v>195</v>
      </c>
      <c r="B567" s="1">
        <v>270.0</v>
      </c>
      <c r="C567" s="3">
        <v>1.71226387E9</v>
      </c>
      <c r="D567" s="3">
        <v>1.71615187E9</v>
      </c>
      <c r="E567" s="1">
        <v>0.0</v>
      </c>
      <c r="F567" s="2"/>
      <c r="G567" s="2"/>
    </row>
    <row r="568">
      <c r="A568" s="1" t="s">
        <v>210</v>
      </c>
      <c r="B568" s="1">
        <v>270.0</v>
      </c>
      <c r="C568" s="3">
        <v>1.712314231E9</v>
      </c>
      <c r="D568" s="3">
        <v>1.716202231E9</v>
      </c>
      <c r="E568" s="1">
        <v>0.0</v>
      </c>
      <c r="F568" s="2"/>
      <c r="G568" s="2"/>
    </row>
    <row r="569">
      <c r="A569" s="1" t="s">
        <v>434</v>
      </c>
      <c r="B569" s="1">
        <v>270.0</v>
      </c>
      <c r="C569" s="3">
        <v>1.712325772E9</v>
      </c>
      <c r="D569" s="3">
        <v>1.716213772E9</v>
      </c>
      <c r="E569" s="1">
        <v>0.0</v>
      </c>
      <c r="F569" s="2"/>
      <c r="G569" s="2"/>
    </row>
    <row r="570">
      <c r="A570" s="1" t="s">
        <v>435</v>
      </c>
      <c r="B570" s="1">
        <v>270.0</v>
      </c>
      <c r="C570" s="3">
        <v>1.712325982E9</v>
      </c>
      <c r="D570" s="3">
        <v>1.716213982E9</v>
      </c>
      <c r="E570" s="1">
        <v>0.0</v>
      </c>
      <c r="F570" s="2"/>
      <c r="G570" s="2"/>
    </row>
    <row r="571">
      <c r="A571" s="1" t="s">
        <v>436</v>
      </c>
      <c r="B571" s="1">
        <v>270.0</v>
      </c>
      <c r="C571" s="3">
        <v>1.712326075E9</v>
      </c>
      <c r="D571" s="3">
        <v>1.716214075E9</v>
      </c>
      <c r="E571" s="1">
        <v>0.0</v>
      </c>
      <c r="F571" s="2"/>
      <c r="G571" s="2"/>
    </row>
    <row r="572">
      <c r="A572" s="1" t="s">
        <v>437</v>
      </c>
      <c r="B572" s="1">
        <v>90.0</v>
      </c>
      <c r="C572" s="3">
        <v>1.712327203E9</v>
      </c>
      <c r="D572" s="3">
        <v>1.716215203E9</v>
      </c>
      <c r="E572" s="1">
        <v>0.0</v>
      </c>
      <c r="F572" s="2"/>
      <c r="G572" s="2"/>
    </row>
    <row r="573">
      <c r="A573" s="1" t="s">
        <v>438</v>
      </c>
      <c r="B573" s="1">
        <v>90.0</v>
      </c>
      <c r="C573" s="3">
        <v>1.712330331E9</v>
      </c>
      <c r="D573" s="3">
        <v>1.716218331E9</v>
      </c>
      <c r="E573" s="1">
        <v>0.0</v>
      </c>
      <c r="F573" s="2"/>
      <c r="G573" s="2"/>
    </row>
    <row r="574">
      <c r="A574" s="1" t="s">
        <v>425</v>
      </c>
      <c r="B574" s="1">
        <v>90.0</v>
      </c>
      <c r="C574" s="3">
        <v>1.712330496E9</v>
      </c>
      <c r="D574" s="3">
        <v>1.716218496E9</v>
      </c>
      <c r="E574" s="1">
        <v>0.0</v>
      </c>
      <c r="F574" s="2"/>
      <c r="G574" s="2"/>
    </row>
    <row r="575">
      <c r="A575" s="1" t="s">
        <v>439</v>
      </c>
      <c r="B575" s="1">
        <v>72.0</v>
      </c>
      <c r="C575" s="3">
        <v>1.712351068E9</v>
      </c>
      <c r="D575" s="3">
        <v>1.716239068E9</v>
      </c>
      <c r="E575" s="1">
        <v>0.0</v>
      </c>
      <c r="F575" s="2"/>
      <c r="G575" s="2"/>
    </row>
    <row r="576">
      <c r="A576" s="1" t="s">
        <v>203</v>
      </c>
      <c r="B576" s="1">
        <v>72.0</v>
      </c>
      <c r="C576" s="3">
        <v>1.712391502E9</v>
      </c>
      <c r="D576" s="3">
        <v>1.716279502E9</v>
      </c>
      <c r="E576" s="1">
        <v>0.0</v>
      </c>
      <c r="F576" s="2"/>
      <c r="G576" s="2"/>
    </row>
    <row r="577">
      <c r="A577" s="1" t="s">
        <v>440</v>
      </c>
      <c r="B577" s="1">
        <v>72.0</v>
      </c>
      <c r="C577" s="3">
        <v>1.716015013E9</v>
      </c>
      <c r="D577" s="3">
        <v>1.719903013E9</v>
      </c>
      <c r="E577" s="1">
        <v>0.0</v>
      </c>
      <c r="F577" s="2"/>
      <c r="G577" s="2"/>
    </row>
    <row r="578">
      <c r="A578" s="1" t="s">
        <v>441</v>
      </c>
      <c r="B578" s="1">
        <v>72.0</v>
      </c>
      <c r="C578" s="3">
        <v>1.716014346E9</v>
      </c>
      <c r="D578" s="3">
        <v>1.719902346E9</v>
      </c>
      <c r="E578" s="1">
        <v>0.0</v>
      </c>
      <c r="F578" s="2"/>
      <c r="G578" s="2"/>
    </row>
    <row r="579">
      <c r="A579" s="1" t="s">
        <v>171</v>
      </c>
      <c r="B579" s="1">
        <v>72.0</v>
      </c>
      <c r="C579" s="3">
        <v>1.71542356E9</v>
      </c>
      <c r="D579" s="3">
        <v>1.71931156E9</v>
      </c>
      <c r="E579" s="1">
        <v>0.0</v>
      </c>
      <c r="F579" s="2"/>
      <c r="G579" s="2"/>
    </row>
    <row r="580">
      <c r="A580" s="1" t="s">
        <v>442</v>
      </c>
      <c r="B580" s="1">
        <v>72.0</v>
      </c>
      <c r="C580" s="3">
        <v>1.715312742E9</v>
      </c>
      <c r="D580" s="3">
        <v>1.719200742E9</v>
      </c>
      <c r="E580" s="1">
        <v>0.0</v>
      </c>
      <c r="F580" s="2"/>
      <c r="G580" s="2"/>
    </row>
    <row r="581">
      <c r="A581" s="1" t="s">
        <v>201</v>
      </c>
      <c r="B581" s="1">
        <v>72.0</v>
      </c>
      <c r="C581" s="3">
        <v>1.71484039E9</v>
      </c>
      <c r="D581" s="3">
        <v>1.71872839E9</v>
      </c>
      <c r="E581" s="1">
        <v>0.0</v>
      </c>
      <c r="F581" s="2"/>
      <c r="G581" s="2"/>
    </row>
    <row r="582">
      <c r="A582" s="1" t="s">
        <v>205</v>
      </c>
      <c r="B582" s="1">
        <v>72.0</v>
      </c>
      <c r="C582" s="3">
        <v>1.714030528E9</v>
      </c>
      <c r="D582" s="3">
        <v>1.717918528E9</v>
      </c>
      <c r="E582" s="1">
        <v>0.0</v>
      </c>
      <c r="F582" s="2"/>
      <c r="G582" s="2"/>
    </row>
    <row r="583">
      <c r="A583" s="1" t="s">
        <v>193</v>
      </c>
      <c r="B583" s="1">
        <v>54.0</v>
      </c>
      <c r="C583" s="3">
        <v>1.713644606E9</v>
      </c>
      <c r="D583" s="3">
        <v>1.717532606E9</v>
      </c>
      <c r="E583" s="1">
        <v>0.0</v>
      </c>
      <c r="F583" s="2"/>
      <c r="G583" s="2"/>
    </row>
    <row r="584">
      <c r="A584" s="1" t="s">
        <v>211</v>
      </c>
      <c r="B584" s="1">
        <v>54.0</v>
      </c>
      <c r="C584" s="3">
        <v>1.713463759E9</v>
      </c>
      <c r="D584" s="3">
        <v>1.717351759E9</v>
      </c>
      <c r="E584" s="1">
        <v>0.0</v>
      </c>
      <c r="F584" s="2"/>
      <c r="G584" s="2"/>
    </row>
    <row r="585">
      <c r="A585" s="1" t="s">
        <v>210</v>
      </c>
      <c r="B585" s="1">
        <v>50.0</v>
      </c>
      <c r="C585" s="3">
        <v>1.713463692E9</v>
      </c>
      <c r="D585" s="3">
        <v>1.717351692E9</v>
      </c>
      <c r="E585" s="1">
        <v>0.0</v>
      </c>
      <c r="F585" s="2"/>
      <c r="G585" s="2"/>
    </row>
    <row r="586">
      <c r="A586" s="1" t="s">
        <v>443</v>
      </c>
      <c r="B586" s="1">
        <v>36.0</v>
      </c>
      <c r="C586" s="3">
        <v>1.713463539E9</v>
      </c>
      <c r="D586" s="3">
        <v>1.717351539E9</v>
      </c>
      <c r="E586" s="1">
        <v>0.0</v>
      </c>
      <c r="F586" s="2"/>
      <c r="G586" s="2"/>
    </row>
    <row r="587">
      <c r="A587" s="1" t="s">
        <v>444</v>
      </c>
      <c r="B587" s="1">
        <v>36.0</v>
      </c>
      <c r="C587" s="3">
        <v>1.713463428E9</v>
      </c>
      <c r="D587" s="3">
        <v>1.717351428E9</v>
      </c>
      <c r="E587" s="1">
        <v>0.0</v>
      </c>
      <c r="F587" s="2"/>
      <c r="G587" s="2"/>
    </row>
    <row r="588">
      <c r="A588" s="1" t="s">
        <v>445</v>
      </c>
      <c r="B588" s="1">
        <v>36.0</v>
      </c>
      <c r="C588" s="3">
        <v>1.713399508E9</v>
      </c>
      <c r="D588" s="3">
        <v>1.717287508E9</v>
      </c>
      <c r="E588" s="1">
        <v>0.0</v>
      </c>
      <c r="F588" s="2"/>
      <c r="G588" s="2"/>
    </row>
    <row r="589">
      <c r="A589" s="1" t="s">
        <v>210</v>
      </c>
      <c r="B589" s="1">
        <v>27.0</v>
      </c>
      <c r="C589" s="3">
        <v>1.713007674E9</v>
      </c>
      <c r="D589" s="3">
        <v>1.716895674E9</v>
      </c>
      <c r="E589" s="1">
        <v>0.0</v>
      </c>
      <c r="F589" s="2"/>
      <c r="G589" s="2"/>
    </row>
    <row r="590">
      <c r="A590" s="1" t="s">
        <v>193</v>
      </c>
      <c r="B590" s="1">
        <v>18.0</v>
      </c>
      <c r="C590" s="3">
        <v>1.713007451E9</v>
      </c>
      <c r="D590" s="3">
        <v>1.716895451E9</v>
      </c>
      <c r="E590" s="1">
        <v>0.0</v>
      </c>
      <c r="F590" s="2"/>
      <c r="G590" s="2"/>
    </row>
    <row r="591">
      <c r="A591" s="1" t="s">
        <v>193</v>
      </c>
      <c r="B591" s="1">
        <v>18.0</v>
      </c>
      <c r="C591" s="3">
        <v>1.712938388E9</v>
      </c>
      <c r="D591" s="3">
        <v>1.716826388E9</v>
      </c>
      <c r="E591" s="1">
        <v>0.0</v>
      </c>
      <c r="F591" s="2"/>
      <c r="G591" s="2"/>
    </row>
    <row r="592">
      <c r="A592" s="1" t="s">
        <v>446</v>
      </c>
      <c r="B592" s="1">
        <v>18.0</v>
      </c>
      <c r="C592" s="3">
        <v>1.712914956E9</v>
      </c>
      <c r="D592" s="3">
        <v>1.716802956E9</v>
      </c>
      <c r="E592" s="1">
        <v>0.0</v>
      </c>
      <c r="F592" s="2"/>
      <c r="G592" s="2"/>
    </row>
    <row r="593">
      <c r="A593" s="1" t="s">
        <v>438</v>
      </c>
      <c r="B593" s="1">
        <v>18.0</v>
      </c>
      <c r="C593" s="3">
        <v>1.712836272E9</v>
      </c>
      <c r="D593" s="3">
        <v>1.716724272E9</v>
      </c>
      <c r="E593" s="1">
        <v>0.0</v>
      </c>
      <c r="F593" s="2"/>
      <c r="G593" s="2"/>
    </row>
    <row r="594">
      <c r="A594" s="1" t="s">
        <v>447</v>
      </c>
      <c r="B594" s="1">
        <v>18.0</v>
      </c>
      <c r="C594" s="3">
        <v>1.712769259E9</v>
      </c>
      <c r="D594" s="3">
        <v>1.716657259E9</v>
      </c>
      <c r="E594" s="1">
        <v>0.0</v>
      </c>
      <c r="F594" s="2"/>
      <c r="G594" s="2"/>
    </row>
    <row r="595">
      <c r="A595" s="1" t="s">
        <v>425</v>
      </c>
      <c r="B595" s="1">
        <v>18.0</v>
      </c>
      <c r="C595" s="3">
        <v>1.712760691E9</v>
      </c>
      <c r="D595" s="3">
        <v>1.716648691E9</v>
      </c>
      <c r="E595" s="1">
        <v>0.0</v>
      </c>
      <c r="F595" s="2"/>
      <c r="G595" s="2"/>
    </row>
    <row r="596">
      <c r="A596" s="1" t="s">
        <v>448</v>
      </c>
      <c r="B596" s="1">
        <v>18.0</v>
      </c>
      <c r="C596" s="3">
        <v>1.712667051E9</v>
      </c>
      <c r="D596" s="3">
        <v>1.716555051E9</v>
      </c>
      <c r="E596" s="1">
        <v>0.0</v>
      </c>
      <c r="F596" s="2"/>
      <c r="G596" s="2"/>
    </row>
    <row r="597">
      <c r="A597" s="1" t="s">
        <v>449</v>
      </c>
      <c r="B597" s="1">
        <v>18.0</v>
      </c>
      <c r="C597" s="3">
        <v>1.712666876E9</v>
      </c>
      <c r="D597" s="3">
        <v>1.716554876E9</v>
      </c>
      <c r="E597" s="1">
        <v>0.0</v>
      </c>
      <c r="F597" s="2"/>
      <c r="G597" s="2"/>
    </row>
    <row r="598">
      <c r="A598" s="1" t="s">
        <v>450</v>
      </c>
      <c r="B598" s="1">
        <v>18.0</v>
      </c>
      <c r="C598" s="3">
        <v>1.712653141E9</v>
      </c>
      <c r="D598" s="3">
        <v>1.716541141E9</v>
      </c>
      <c r="E598" s="1">
        <v>0.0</v>
      </c>
      <c r="F598" s="2"/>
      <c r="G598" s="2"/>
    </row>
    <row r="599">
      <c r="A599" s="1" t="s">
        <v>191</v>
      </c>
      <c r="B599" s="1">
        <v>18.0</v>
      </c>
      <c r="C599" s="3">
        <v>1.712649397E9</v>
      </c>
      <c r="D599" s="3">
        <v>1.716537397E9</v>
      </c>
      <c r="E599" s="1">
        <v>0.0</v>
      </c>
      <c r="F599" s="2"/>
      <c r="G599" s="2"/>
    </row>
    <row r="600">
      <c r="A600" s="1" t="s">
        <v>451</v>
      </c>
      <c r="B600" s="1">
        <v>18.0</v>
      </c>
      <c r="C600" s="3">
        <v>1.712629351E9</v>
      </c>
      <c r="D600" s="3">
        <v>1.716517351E9</v>
      </c>
      <c r="E600" s="1">
        <v>0.0</v>
      </c>
      <c r="F600" s="2"/>
      <c r="G600" s="2"/>
    </row>
    <row r="601">
      <c r="A601" s="1" t="s">
        <v>452</v>
      </c>
      <c r="B601" s="1">
        <v>18.0</v>
      </c>
      <c r="C601" s="3">
        <v>1.71261619E9</v>
      </c>
      <c r="D601" s="3">
        <v>1.71650419E9</v>
      </c>
      <c r="E601" s="1">
        <v>0.0</v>
      </c>
      <c r="F601" s="2"/>
      <c r="G601" s="2"/>
    </row>
    <row r="602">
      <c r="A602" s="1" t="s">
        <v>449</v>
      </c>
      <c r="B602" s="1">
        <v>18.0</v>
      </c>
      <c r="C602" s="3">
        <v>1.712615683E9</v>
      </c>
      <c r="D602" s="3">
        <v>1.716503683E9</v>
      </c>
      <c r="E602" s="1">
        <v>0.0</v>
      </c>
      <c r="F602" s="2"/>
      <c r="G602" s="2"/>
    </row>
    <row r="603">
      <c r="A603" s="1" t="s">
        <v>453</v>
      </c>
      <c r="B603" s="1">
        <v>18.0</v>
      </c>
      <c r="C603" s="3">
        <v>1.712612731E9</v>
      </c>
      <c r="D603" s="3">
        <v>1.716500731E9</v>
      </c>
      <c r="E603" s="1">
        <v>0.0</v>
      </c>
      <c r="F603" s="2"/>
      <c r="G603" s="2"/>
    </row>
    <row r="604">
      <c r="A604" s="1" t="s">
        <v>454</v>
      </c>
      <c r="B604" s="1">
        <v>18.0</v>
      </c>
      <c r="C604" s="3">
        <v>1.712599606E9</v>
      </c>
      <c r="D604" s="3">
        <v>1.716487606E9</v>
      </c>
      <c r="E604" s="1">
        <v>0.0</v>
      </c>
      <c r="F604" s="2"/>
      <c r="G604" s="2"/>
    </row>
    <row r="605">
      <c r="A605" s="1" t="s">
        <v>163</v>
      </c>
      <c r="B605" s="1">
        <v>18.0</v>
      </c>
      <c r="C605" s="3">
        <v>1.712596814E9</v>
      </c>
      <c r="D605" s="3">
        <v>1.716484814E9</v>
      </c>
      <c r="E605" s="1">
        <v>0.0</v>
      </c>
      <c r="F605" s="2"/>
      <c r="G605" s="2"/>
    </row>
    <row r="606">
      <c r="A606" s="1" t="s">
        <v>455</v>
      </c>
      <c r="B606" s="1">
        <v>18.0</v>
      </c>
      <c r="C606" s="3">
        <v>1.712596744E9</v>
      </c>
      <c r="D606" s="3">
        <v>1.716484744E9</v>
      </c>
      <c r="E606" s="1">
        <v>0.0</v>
      </c>
      <c r="F606" s="2"/>
      <c r="G606" s="2"/>
    </row>
    <row r="607">
      <c r="A607" s="1" t="s">
        <v>456</v>
      </c>
      <c r="B607" s="1">
        <v>18.0</v>
      </c>
      <c r="C607" s="3">
        <v>1.71259651E9</v>
      </c>
      <c r="D607" s="3">
        <v>1.71648451E9</v>
      </c>
      <c r="E607" s="1">
        <v>0.0</v>
      </c>
      <c r="F607" s="2"/>
      <c r="G607" s="2"/>
    </row>
    <row r="608">
      <c r="A608" s="1" t="s">
        <v>457</v>
      </c>
      <c r="B608" s="1">
        <v>18.0</v>
      </c>
      <c r="C608" s="3">
        <v>1.712591691E9</v>
      </c>
      <c r="D608" s="3">
        <v>1.716479691E9</v>
      </c>
      <c r="E608" s="1">
        <v>0.0</v>
      </c>
      <c r="F608" s="2"/>
      <c r="G608" s="2"/>
    </row>
    <row r="609">
      <c r="A609" s="1" t="s">
        <v>458</v>
      </c>
      <c r="B609" s="1">
        <v>18.0</v>
      </c>
      <c r="C609" s="3">
        <v>1.712591567E9</v>
      </c>
      <c r="D609" s="3">
        <v>1.716479567E9</v>
      </c>
      <c r="E609" s="1">
        <v>0.0</v>
      </c>
      <c r="F609" s="2"/>
      <c r="G609" s="2"/>
    </row>
    <row r="610">
      <c r="A610" s="1" t="s">
        <v>194</v>
      </c>
      <c r="B610" s="1">
        <v>18.0</v>
      </c>
      <c r="C610" s="3">
        <v>1.712591546E9</v>
      </c>
      <c r="D610" s="3">
        <v>1.716479546E9</v>
      </c>
      <c r="E610" s="1">
        <v>0.0</v>
      </c>
      <c r="F610" s="2"/>
      <c r="G610" s="2"/>
    </row>
    <row r="611">
      <c r="A611" s="1" t="s">
        <v>192</v>
      </c>
      <c r="B611" s="1">
        <v>18.0</v>
      </c>
      <c r="C611" s="3">
        <v>1.712589171E9</v>
      </c>
      <c r="D611" s="3">
        <v>1.716477171E9</v>
      </c>
      <c r="E611" s="1">
        <v>0.0</v>
      </c>
      <c r="F611" s="2"/>
      <c r="G611" s="2"/>
    </row>
    <row r="612">
      <c r="A612" s="1" t="s">
        <v>459</v>
      </c>
      <c r="B612" s="1">
        <v>18.0</v>
      </c>
      <c r="C612" s="3">
        <v>1.712569848E9</v>
      </c>
      <c r="D612" s="3">
        <v>1.716457848E9</v>
      </c>
      <c r="E612" s="1">
        <v>0.0</v>
      </c>
      <c r="F612" s="2"/>
      <c r="G612" s="2"/>
    </row>
    <row r="613">
      <c r="A613" s="1" t="s">
        <v>196</v>
      </c>
      <c r="B613" s="1">
        <v>18.0</v>
      </c>
      <c r="C613" s="3">
        <v>1.712569637E9</v>
      </c>
      <c r="D613" s="3">
        <v>1.716457637E9</v>
      </c>
      <c r="E613" s="1">
        <v>0.0</v>
      </c>
      <c r="F613" s="2"/>
      <c r="G613" s="2"/>
    </row>
    <row r="614">
      <c r="A614" s="1" t="s">
        <v>460</v>
      </c>
      <c r="B614" s="1">
        <v>18.0</v>
      </c>
      <c r="C614" s="3">
        <v>1.700078281E9</v>
      </c>
      <c r="D614" s="3">
        <v>1.703966281E9</v>
      </c>
      <c r="E614" s="1">
        <v>0.0</v>
      </c>
      <c r="F614" s="2"/>
      <c r="G614" s="2"/>
    </row>
    <row r="615">
      <c r="A615" s="1" t="s">
        <v>461</v>
      </c>
      <c r="B615" s="1">
        <v>18.0</v>
      </c>
      <c r="C615" s="3">
        <v>1.698944409E9</v>
      </c>
      <c r="D615" s="3">
        <v>1.702832409E9</v>
      </c>
      <c r="E615" s="1">
        <v>0.0</v>
      </c>
      <c r="F615" s="2"/>
      <c r="G615" s="2"/>
    </row>
    <row r="616">
      <c r="A616" s="1" t="s">
        <v>452</v>
      </c>
      <c r="B616" s="1">
        <v>251148.0</v>
      </c>
      <c r="C616" s="3">
        <v>1.702321027E9</v>
      </c>
      <c r="D616" s="3">
        <v>1.706209027E9</v>
      </c>
      <c r="E616" s="1">
        <v>0.0</v>
      </c>
      <c r="F616" s="2"/>
      <c r="G616" s="2"/>
    </row>
    <row r="617">
      <c r="A617" s="1" t="s">
        <v>462</v>
      </c>
      <c r="B617" s="1">
        <v>270000.0</v>
      </c>
      <c r="C617" s="3">
        <v>1.704325568E9</v>
      </c>
      <c r="D617" s="3">
        <v>1.708213568E9</v>
      </c>
      <c r="E617" s="1">
        <v>0.0</v>
      </c>
      <c r="F617" s="2"/>
      <c r="G617" s="2"/>
    </row>
    <row r="618">
      <c r="A618" s="1" t="s">
        <v>463</v>
      </c>
      <c r="B618" s="1">
        <v>262880.0</v>
      </c>
      <c r="C618" s="3">
        <v>1.703235329E9</v>
      </c>
      <c r="D618" s="3">
        <v>1.707123329E9</v>
      </c>
      <c r="E618" s="1">
        <v>0.0</v>
      </c>
      <c r="F618" s="2"/>
      <c r="G618" s="2"/>
    </row>
    <row r="619">
      <c r="A619" s="1" t="s">
        <v>464</v>
      </c>
      <c r="B619" s="1">
        <v>250233.0</v>
      </c>
      <c r="C619" s="3">
        <v>1.703101438E9</v>
      </c>
      <c r="D619" s="3">
        <v>1.706989438E9</v>
      </c>
      <c r="E619" s="1">
        <v>0.0</v>
      </c>
      <c r="F619" s="2"/>
      <c r="G619" s="2"/>
    </row>
    <row r="620">
      <c r="A620" s="1" t="s">
        <v>465</v>
      </c>
      <c r="B620" s="1">
        <v>244906.0</v>
      </c>
      <c r="C620" s="3">
        <v>1.703083717E9</v>
      </c>
      <c r="D620" s="3">
        <v>1.706971717E9</v>
      </c>
      <c r="E620" s="1">
        <v>0.0</v>
      </c>
      <c r="F620" s="2"/>
      <c r="G620" s="2"/>
    </row>
    <row r="621">
      <c r="A621" s="1" t="s">
        <v>465</v>
      </c>
      <c r="B621" s="1">
        <v>243007.0</v>
      </c>
      <c r="C621" s="3">
        <v>1.702305444E9</v>
      </c>
      <c r="D621" s="3">
        <v>1.706193444E9</v>
      </c>
      <c r="E621" s="1">
        <v>0.0</v>
      </c>
      <c r="F621" s="2"/>
      <c r="G621" s="2"/>
    </row>
    <row r="622">
      <c r="A622" s="1" t="s">
        <v>466</v>
      </c>
      <c r="B622" s="1">
        <v>241372.0</v>
      </c>
      <c r="C622" s="3">
        <v>1.702283432E9</v>
      </c>
      <c r="D622" s="3">
        <v>1.706171432E9</v>
      </c>
      <c r="E622" s="1">
        <v>0.0</v>
      </c>
      <c r="F622" s="2"/>
      <c r="G622" s="2"/>
    </row>
    <row r="623">
      <c r="A623" s="1" t="s">
        <v>467</v>
      </c>
      <c r="B623" s="1">
        <v>241323.0</v>
      </c>
      <c r="C623" s="3">
        <v>1.702049432E9</v>
      </c>
      <c r="D623" s="3">
        <v>1.705937432E9</v>
      </c>
      <c r="E623" s="1">
        <v>0.0</v>
      </c>
      <c r="F623" s="2"/>
      <c r="G623" s="2"/>
    </row>
    <row r="624">
      <c r="A624" s="1" t="s">
        <v>468</v>
      </c>
      <c r="B624" s="1">
        <v>232181.0</v>
      </c>
      <c r="C624" s="3">
        <v>1.701948863E9</v>
      </c>
      <c r="D624" s="3">
        <v>1.705836863E9</v>
      </c>
      <c r="E624" s="1">
        <v>0.0</v>
      </c>
      <c r="F624" s="2"/>
      <c r="G624" s="2"/>
    </row>
    <row r="625">
      <c r="A625" s="1" t="s">
        <v>469</v>
      </c>
      <c r="B625" s="1">
        <v>223219.0</v>
      </c>
      <c r="C625" s="3">
        <v>1.70190024E9</v>
      </c>
      <c r="D625" s="3">
        <v>1.70578824E9</v>
      </c>
      <c r="E625" s="1">
        <v>0.0</v>
      </c>
      <c r="F625" s="2"/>
      <c r="G625" s="2"/>
    </row>
    <row r="626">
      <c r="A626" s="1" t="s">
        <v>470</v>
      </c>
      <c r="B626" s="1">
        <v>223050.0</v>
      </c>
      <c r="C626" s="3">
        <v>1.701792956E9</v>
      </c>
      <c r="D626" s="3">
        <v>1.705680956E9</v>
      </c>
      <c r="E626" s="1">
        <v>0.0</v>
      </c>
      <c r="F626" s="2"/>
      <c r="G626" s="2"/>
    </row>
    <row r="627">
      <c r="A627" s="1" t="s">
        <v>471</v>
      </c>
      <c r="B627" s="1">
        <v>66393.0</v>
      </c>
      <c r="C627" s="3">
        <v>1.701780809E9</v>
      </c>
      <c r="D627" s="3">
        <v>1.705668809E9</v>
      </c>
      <c r="E627" s="1">
        <v>0.0</v>
      </c>
      <c r="F627" s="2"/>
      <c r="G627" s="2"/>
    </row>
    <row r="628">
      <c r="A628" s="1" t="s">
        <v>472</v>
      </c>
      <c r="B628" s="1">
        <v>72000.0</v>
      </c>
      <c r="C628" s="3">
        <v>1.70172982E9</v>
      </c>
      <c r="D628" s="3">
        <v>1.70561782E9</v>
      </c>
      <c r="E628" s="1">
        <v>0.0</v>
      </c>
      <c r="F628" s="2"/>
      <c r="G628" s="2"/>
    </row>
    <row r="629">
      <c r="A629" s="1" t="s">
        <v>473</v>
      </c>
      <c r="B629" s="1">
        <v>72000.0</v>
      </c>
      <c r="C629" s="3">
        <v>1.700747785E9</v>
      </c>
      <c r="D629" s="3">
        <v>1.704635785E9</v>
      </c>
      <c r="E629" s="1">
        <v>0.0</v>
      </c>
      <c r="F629" s="2"/>
      <c r="G629" s="2"/>
    </row>
    <row r="630">
      <c r="A630" s="1" t="s">
        <v>474</v>
      </c>
      <c r="B630" s="1">
        <v>72000.0</v>
      </c>
      <c r="C630" s="3">
        <v>1.70059145E9</v>
      </c>
      <c r="D630" s="3">
        <v>1.70447945E9</v>
      </c>
      <c r="E630" s="1">
        <v>0.0</v>
      </c>
      <c r="F630" s="2"/>
      <c r="G630" s="2"/>
    </row>
    <row r="631">
      <c r="A631" s="1" t="s">
        <v>475</v>
      </c>
      <c r="B631" s="1">
        <v>68463.0</v>
      </c>
      <c r="C631" s="3">
        <v>1.698937393E9</v>
      </c>
      <c r="D631" s="3">
        <v>1.702825393E9</v>
      </c>
      <c r="E631" s="1">
        <v>0.0</v>
      </c>
      <c r="F631" s="2"/>
      <c r="G631" s="2"/>
    </row>
    <row r="632">
      <c r="A632" s="1" t="s">
        <v>476</v>
      </c>
      <c r="B632" s="1">
        <v>68463.0</v>
      </c>
      <c r="C632" s="3">
        <v>1.698931519E9</v>
      </c>
      <c r="D632" s="3">
        <v>1.702819519E9</v>
      </c>
      <c r="E632" s="1">
        <v>0.0</v>
      </c>
      <c r="F632" s="2"/>
      <c r="G632" s="2"/>
    </row>
    <row r="633">
      <c r="A633" s="1" t="s">
        <v>470</v>
      </c>
      <c r="B633" s="1">
        <v>66008.0</v>
      </c>
      <c r="C633" s="3">
        <v>1.697930634E9</v>
      </c>
      <c r="D633" s="3">
        <v>1.701818634E9</v>
      </c>
      <c r="E633" s="1">
        <v>0.0</v>
      </c>
      <c r="F633" s="2"/>
      <c r="G633" s="2"/>
    </row>
    <row r="634">
      <c r="A634" s="1" t="s">
        <v>477</v>
      </c>
      <c r="B634" s="1">
        <v>34182.0</v>
      </c>
      <c r="C634" s="3">
        <v>1.703275757E9</v>
      </c>
      <c r="D634" s="3">
        <v>1.705867757E9</v>
      </c>
      <c r="E634" s="1">
        <v>0.0</v>
      </c>
      <c r="F634" s="2"/>
      <c r="G634" s="2"/>
    </row>
    <row r="635">
      <c r="A635" s="1" t="s">
        <v>463</v>
      </c>
      <c r="B635" s="1">
        <v>34182.0</v>
      </c>
      <c r="C635" s="3">
        <v>1.702583683E9</v>
      </c>
      <c r="D635" s="3">
        <v>1.705175683E9</v>
      </c>
      <c r="E635" s="1">
        <v>0.0</v>
      </c>
      <c r="F635" s="2"/>
      <c r="G635" s="2"/>
    </row>
    <row r="636">
      <c r="A636" s="1" t="s">
        <v>171</v>
      </c>
      <c r="B636" s="1">
        <v>29754.0</v>
      </c>
      <c r="C636" s="3">
        <v>1.702337414E9</v>
      </c>
      <c r="D636" s="3">
        <v>1.704929414E9</v>
      </c>
      <c r="E636" s="1">
        <v>0.0</v>
      </c>
      <c r="F636" s="2"/>
      <c r="G636" s="2"/>
    </row>
    <row r="637">
      <c r="A637" s="1" t="s">
        <v>478</v>
      </c>
      <c r="B637" s="1">
        <v>27216.0</v>
      </c>
      <c r="C637" s="3">
        <v>1.704220778E9</v>
      </c>
      <c r="D637" s="3">
        <v>1.706812778E9</v>
      </c>
      <c r="E637" s="1">
        <v>0.0</v>
      </c>
      <c r="F637" s="2"/>
      <c r="G637" s="2"/>
    </row>
    <row r="638">
      <c r="A638" s="1" t="s">
        <v>479</v>
      </c>
      <c r="B638" s="1">
        <v>27000.0</v>
      </c>
      <c r="C638" s="3">
        <v>1.703847837E9</v>
      </c>
      <c r="D638" s="3">
        <v>1.706439837E9</v>
      </c>
      <c r="E638" s="1">
        <v>0.0</v>
      </c>
      <c r="F638" s="2"/>
      <c r="G638" s="2"/>
    </row>
    <row r="639">
      <c r="A639" s="1" t="s">
        <v>480</v>
      </c>
      <c r="B639" s="1">
        <v>27000.0</v>
      </c>
      <c r="C639" s="3">
        <v>1.703841991E9</v>
      </c>
      <c r="D639" s="3">
        <v>1.706433991E9</v>
      </c>
      <c r="E639" s="1">
        <v>0.0</v>
      </c>
      <c r="F639" s="2"/>
      <c r="G639" s="2"/>
    </row>
    <row r="640">
      <c r="A640" s="1" t="s">
        <v>462</v>
      </c>
      <c r="B640" s="1">
        <v>27000.0</v>
      </c>
      <c r="C640" s="3">
        <v>1.703344876E9</v>
      </c>
      <c r="D640" s="3">
        <v>1.705936876E9</v>
      </c>
      <c r="E640" s="1">
        <v>0.0</v>
      </c>
      <c r="F640" s="2"/>
      <c r="G640" s="2"/>
    </row>
    <row r="641">
      <c r="A641" s="1" t="s">
        <v>481</v>
      </c>
      <c r="B641" s="1">
        <v>27000.0</v>
      </c>
      <c r="C641" s="3">
        <v>1.702985848E9</v>
      </c>
      <c r="D641" s="3">
        <v>1.705577848E9</v>
      </c>
      <c r="E641" s="1">
        <v>0.0</v>
      </c>
      <c r="F641" s="2"/>
      <c r="G641" s="2"/>
    </row>
    <row r="642">
      <c r="A642" s="1" t="s">
        <v>167</v>
      </c>
      <c r="B642" s="1">
        <v>27000.0</v>
      </c>
      <c r="C642" s="3">
        <v>1.702291187E9</v>
      </c>
      <c r="D642" s="3">
        <v>1.704883187E9</v>
      </c>
      <c r="E642" s="1">
        <v>0.0</v>
      </c>
      <c r="F642" s="2"/>
      <c r="G642" s="2"/>
    </row>
    <row r="643">
      <c r="A643" s="1" t="s">
        <v>482</v>
      </c>
      <c r="B643" s="1">
        <v>27000.0</v>
      </c>
      <c r="C643" s="3">
        <v>1.69935006E9</v>
      </c>
      <c r="D643" s="3">
        <v>1.70194206E9</v>
      </c>
      <c r="E643" s="1">
        <v>0.0</v>
      </c>
      <c r="F643" s="2"/>
      <c r="G643" s="2"/>
    </row>
    <row r="644">
      <c r="A644" s="1" t="s">
        <v>483</v>
      </c>
      <c r="B644" s="1">
        <v>27000.0</v>
      </c>
      <c r="C644" s="3">
        <v>1.699006241E9</v>
      </c>
      <c r="D644" s="3">
        <v>1.701598241E9</v>
      </c>
      <c r="E644" s="1">
        <v>0.0</v>
      </c>
      <c r="F644" s="2"/>
      <c r="G644" s="2"/>
    </row>
    <row r="645">
      <c r="A645" s="1" t="s">
        <v>161</v>
      </c>
      <c r="B645" s="1">
        <v>14400.0</v>
      </c>
      <c r="C645" s="3">
        <v>1.702843835E9</v>
      </c>
      <c r="D645" s="3">
        <v>1.705435835E9</v>
      </c>
      <c r="E645" s="1">
        <v>0.0</v>
      </c>
      <c r="F645" s="2"/>
      <c r="G645" s="2"/>
    </row>
    <row r="646">
      <c r="A646" s="1" t="s">
        <v>452</v>
      </c>
      <c r="B646" s="1">
        <v>11196.0</v>
      </c>
      <c r="C646" s="3">
        <v>1.700077248E9</v>
      </c>
      <c r="D646" s="3">
        <v>1.702669248E9</v>
      </c>
      <c r="E646" s="1">
        <v>0.0</v>
      </c>
      <c r="F646" s="2"/>
      <c r="G646" s="2"/>
    </row>
    <row r="647">
      <c r="A647" s="1" t="s">
        <v>484</v>
      </c>
      <c r="B647" s="1">
        <v>10800.0</v>
      </c>
      <c r="C647" s="3">
        <v>1.704298601E9</v>
      </c>
      <c r="D647" s="3">
        <v>1.706890601E9</v>
      </c>
      <c r="E647" s="1">
        <v>0.0</v>
      </c>
      <c r="F647" s="2"/>
      <c r="G647" s="2"/>
    </row>
    <row r="648">
      <c r="A648" s="1" t="s">
        <v>485</v>
      </c>
      <c r="B648" s="1">
        <v>10800.0</v>
      </c>
      <c r="C648" s="3">
        <v>1.703256354E9</v>
      </c>
      <c r="D648" s="3">
        <v>1.705848354E9</v>
      </c>
      <c r="E648" s="1">
        <v>0.0</v>
      </c>
      <c r="F648" s="2"/>
      <c r="G648" s="2"/>
    </row>
    <row r="649">
      <c r="A649" s="1" t="s">
        <v>486</v>
      </c>
      <c r="B649" s="1">
        <v>10800.0</v>
      </c>
      <c r="C649" s="3">
        <v>1.701792023E9</v>
      </c>
      <c r="D649" s="3">
        <v>1.704384023E9</v>
      </c>
      <c r="E649" s="1">
        <v>0.0</v>
      </c>
      <c r="F649" s="2"/>
      <c r="G649" s="2"/>
    </row>
    <row r="650">
      <c r="A650" s="1" t="s">
        <v>456</v>
      </c>
      <c r="B650" s="1">
        <v>10476.0</v>
      </c>
      <c r="C650" s="3">
        <v>1.701791269E9</v>
      </c>
      <c r="D650" s="3">
        <v>1.704383269E9</v>
      </c>
      <c r="E650" s="1">
        <v>0.0</v>
      </c>
      <c r="F650" s="2"/>
      <c r="G650" s="2"/>
    </row>
    <row r="651">
      <c r="A651" s="1" t="s">
        <v>487</v>
      </c>
      <c r="B651" s="1">
        <v>9792.0</v>
      </c>
      <c r="C651" s="3">
        <v>1.7039132E9</v>
      </c>
      <c r="D651" s="3">
        <v>1.7065052E9</v>
      </c>
      <c r="E651" s="1">
        <v>0.0</v>
      </c>
      <c r="F651" s="2"/>
      <c r="G651" s="2"/>
    </row>
    <row r="652">
      <c r="A652" s="1" t="s">
        <v>488</v>
      </c>
      <c r="B652" s="1">
        <v>7200.0</v>
      </c>
      <c r="C652" s="3">
        <v>1.704381431E9</v>
      </c>
      <c r="D652" s="3">
        <v>1.706973431E9</v>
      </c>
      <c r="E652" s="1">
        <v>0.0</v>
      </c>
      <c r="F652" s="2"/>
      <c r="G652" s="2"/>
    </row>
    <row r="653">
      <c r="A653" s="1" t="s">
        <v>473</v>
      </c>
      <c r="B653" s="1">
        <v>6012.0</v>
      </c>
      <c r="C653" s="3">
        <v>1.704296114E9</v>
      </c>
      <c r="D653" s="3">
        <v>1.706888114E9</v>
      </c>
      <c r="E653" s="1">
        <v>0.0</v>
      </c>
      <c r="F653" s="2"/>
      <c r="G653" s="2"/>
    </row>
    <row r="654">
      <c r="A654" s="1" t="s">
        <v>489</v>
      </c>
      <c r="B654" s="1">
        <v>5400.0</v>
      </c>
      <c r="C654" s="3">
        <v>1.703504342E9</v>
      </c>
      <c r="D654" s="3">
        <v>1.706096342E9</v>
      </c>
      <c r="E654" s="1">
        <v>0.0</v>
      </c>
      <c r="F654" s="2"/>
      <c r="G654" s="2"/>
    </row>
    <row r="655">
      <c r="A655" s="1" t="s">
        <v>441</v>
      </c>
      <c r="B655" s="1">
        <v>5076.0</v>
      </c>
      <c r="C655" s="3">
        <v>1.703067853E9</v>
      </c>
      <c r="D655" s="3">
        <v>1.705659853E9</v>
      </c>
      <c r="E655" s="1">
        <v>0.0</v>
      </c>
      <c r="F655" s="2"/>
      <c r="G655" s="2"/>
    </row>
    <row r="656">
      <c r="A656" s="1" t="s">
        <v>490</v>
      </c>
      <c r="B656" s="1">
        <v>4356.0</v>
      </c>
      <c r="C656" s="3">
        <v>1.702982518E9</v>
      </c>
      <c r="D656" s="3">
        <v>1.705574518E9</v>
      </c>
      <c r="E656" s="1">
        <v>0.0</v>
      </c>
      <c r="F656" s="2"/>
      <c r="G656" s="2"/>
    </row>
    <row r="657">
      <c r="A657" s="1" t="s">
        <v>442</v>
      </c>
      <c r="B657" s="1">
        <v>4140.0</v>
      </c>
      <c r="C657" s="3">
        <v>1.702843313E9</v>
      </c>
      <c r="D657" s="3">
        <v>1.705435313E9</v>
      </c>
      <c r="E657" s="1">
        <v>0.0</v>
      </c>
      <c r="F657" s="2"/>
      <c r="G657" s="2"/>
    </row>
    <row r="658">
      <c r="A658" s="1" t="s">
        <v>491</v>
      </c>
      <c r="B658" s="1">
        <v>4140.0</v>
      </c>
      <c r="C658" s="3">
        <v>1.702640461E9</v>
      </c>
      <c r="D658" s="3">
        <v>1.705232461E9</v>
      </c>
      <c r="E658" s="1">
        <v>0.0</v>
      </c>
      <c r="F658" s="2"/>
      <c r="G658" s="2"/>
    </row>
    <row r="659">
      <c r="A659" s="1" t="s">
        <v>492</v>
      </c>
      <c r="B659" s="1">
        <v>3924.0</v>
      </c>
      <c r="C659" s="3">
        <v>1.702585458E9</v>
      </c>
      <c r="D659" s="3">
        <v>1.705177458E9</v>
      </c>
      <c r="E659" s="1">
        <v>0.0</v>
      </c>
      <c r="F659" s="2"/>
      <c r="G659" s="2"/>
    </row>
    <row r="660">
      <c r="A660" s="1" t="s">
        <v>493</v>
      </c>
      <c r="B660" s="1">
        <v>3816.0</v>
      </c>
      <c r="C660" s="3">
        <v>1.702580656E9</v>
      </c>
      <c r="D660" s="3">
        <v>1.705172656E9</v>
      </c>
      <c r="E660" s="1">
        <v>0.0</v>
      </c>
      <c r="F660" s="2"/>
      <c r="G660" s="2"/>
    </row>
    <row r="661">
      <c r="A661" s="1" t="s">
        <v>494</v>
      </c>
      <c r="B661" s="1">
        <v>3780.0</v>
      </c>
      <c r="C661" s="3">
        <v>1.702300635E9</v>
      </c>
      <c r="D661" s="3">
        <v>1.704892635E9</v>
      </c>
      <c r="E661" s="1">
        <v>0.0</v>
      </c>
      <c r="F661" s="2"/>
      <c r="G661" s="2"/>
    </row>
    <row r="662">
      <c r="A662" s="1" t="s">
        <v>194</v>
      </c>
      <c r="B662" s="1">
        <v>3708.0</v>
      </c>
      <c r="C662" s="3">
        <v>1.702282773E9</v>
      </c>
      <c r="D662" s="3">
        <v>1.704874773E9</v>
      </c>
      <c r="E662" s="1">
        <v>0.0</v>
      </c>
      <c r="F662" s="2"/>
      <c r="G662" s="2"/>
    </row>
    <row r="663">
      <c r="A663" s="1" t="s">
        <v>495</v>
      </c>
      <c r="B663" s="1">
        <v>3636.0</v>
      </c>
      <c r="C663" s="3">
        <v>1.70177669E9</v>
      </c>
      <c r="D663" s="3">
        <v>1.70436869E9</v>
      </c>
      <c r="E663" s="1">
        <v>0.0</v>
      </c>
      <c r="F663" s="2"/>
      <c r="G663" s="2"/>
    </row>
    <row r="664">
      <c r="A664" s="1" t="s">
        <v>496</v>
      </c>
      <c r="B664" s="1">
        <v>3636.0</v>
      </c>
      <c r="C664" s="3">
        <v>1.701679346E9</v>
      </c>
      <c r="D664" s="3">
        <v>1.704271346E9</v>
      </c>
      <c r="E664" s="1">
        <v>0.0</v>
      </c>
      <c r="F664" s="2"/>
      <c r="G664" s="2"/>
    </row>
    <row r="665">
      <c r="A665" s="1" t="s">
        <v>497</v>
      </c>
      <c r="B665" s="1">
        <v>3636.0</v>
      </c>
      <c r="C665" s="3">
        <v>1.701189801E9</v>
      </c>
      <c r="D665" s="3">
        <v>1.703781801E9</v>
      </c>
      <c r="E665" s="1">
        <v>0.0</v>
      </c>
      <c r="F665" s="2"/>
      <c r="G665" s="2"/>
    </row>
    <row r="666">
      <c r="A666" s="1" t="s">
        <v>498</v>
      </c>
      <c r="B666" s="1">
        <v>3636.0</v>
      </c>
      <c r="C666" s="3">
        <v>1.701182505E9</v>
      </c>
      <c r="D666" s="3">
        <v>1.703774505E9</v>
      </c>
      <c r="E666" s="1">
        <v>0.0</v>
      </c>
      <c r="F666" s="2"/>
      <c r="G666" s="2"/>
    </row>
    <row r="667">
      <c r="A667" s="1" t="s">
        <v>499</v>
      </c>
      <c r="B667" s="1">
        <v>3636.0</v>
      </c>
      <c r="C667" s="3">
        <v>1.700830646E9</v>
      </c>
      <c r="D667" s="3">
        <v>1.703422646E9</v>
      </c>
      <c r="E667" s="1">
        <v>0.0</v>
      </c>
      <c r="F667" s="2"/>
      <c r="G667" s="2"/>
    </row>
    <row r="668">
      <c r="A668" s="1" t="s">
        <v>500</v>
      </c>
      <c r="B668" s="1">
        <v>319326.0</v>
      </c>
      <c r="C668" s="3">
        <v>1.7006519E9</v>
      </c>
      <c r="D668" s="3">
        <v>1.7032439E9</v>
      </c>
      <c r="E668" s="1">
        <v>0.0</v>
      </c>
      <c r="F668" s="2"/>
      <c r="G668" s="2"/>
    </row>
    <row r="669">
      <c r="A669" s="1" t="s">
        <v>352</v>
      </c>
      <c r="B669" s="1">
        <v>41152.0</v>
      </c>
      <c r="C669" s="3">
        <v>1.700591372E9</v>
      </c>
      <c r="D669" s="3">
        <v>1.703183372E9</v>
      </c>
      <c r="E669" s="1">
        <v>0.0</v>
      </c>
      <c r="F669" s="2"/>
      <c r="G669" s="2"/>
    </row>
    <row r="670">
      <c r="A670" s="1" t="s">
        <v>501</v>
      </c>
      <c r="B670" s="1">
        <v>46688.0</v>
      </c>
      <c r="C670" s="3">
        <v>1.700153457E9</v>
      </c>
      <c r="D670" s="3">
        <v>1.702745457E9</v>
      </c>
      <c r="E670" s="1">
        <v>0.0</v>
      </c>
      <c r="F670" s="2"/>
      <c r="G670" s="2"/>
    </row>
    <row r="671">
      <c r="A671" s="1" t="s">
        <v>502</v>
      </c>
      <c r="B671" s="1">
        <v>46667.0</v>
      </c>
      <c r="C671" s="3">
        <v>1.700124741E9</v>
      </c>
      <c r="D671" s="3">
        <v>1.702716741E9</v>
      </c>
      <c r="E671" s="1">
        <v>0.0</v>
      </c>
      <c r="F671" s="2"/>
      <c r="G671" s="2"/>
    </row>
    <row r="672">
      <c r="A672" s="1" t="s">
        <v>503</v>
      </c>
      <c r="B672" s="1">
        <v>46637.0</v>
      </c>
      <c r="C672" s="3">
        <v>1.700036675E9</v>
      </c>
      <c r="D672" s="3">
        <v>1.702628675E9</v>
      </c>
      <c r="E672" s="1">
        <v>0.0</v>
      </c>
      <c r="F672" s="2"/>
      <c r="G672" s="2"/>
    </row>
    <row r="673">
      <c r="A673" s="1" t="s">
        <v>504</v>
      </c>
      <c r="B673" s="1">
        <v>46403.0</v>
      </c>
      <c r="C673" s="3">
        <v>1.699961811E9</v>
      </c>
      <c r="D673" s="3">
        <v>1.702553811E9</v>
      </c>
      <c r="E673" s="1">
        <v>0.0</v>
      </c>
      <c r="F673" s="2"/>
      <c r="G673" s="2"/>
    </row>
    <row r="674">
      <c r="A674" s="1" t="s">
        <v>505</v>
      </c>
      <c r="B674" s="1">
        <v>45868.0</v>
      </c>
      <c r="C674" s="3">
        <v>1.699381895E9</v>
      </c>
      <c r="D674" s="3">
        <v>1.701973895E9</v>
      </c>
      <c r="E674" s="1">
        <v>0.0</v>
      </c>
      <c r="F674" s="2"/>
      <c r="G674" s="2"/>
    </row>
    <row r="675">
      <c r="A675" s="1" t="s">
        <v>506</v>
      </c>
      <c r="B675" s="1">
        <v>45842.0</v>
      </c>
      <c r="C675" s="3">
        <v>1.698597078E9</v>
      </c>
      <c r="D675" s="3">
        <v>1.701189078E9</v>
      </c>
      <c r="E675" s="1">
        <v>0.0</v>
      </c>
      <c r="F675" s="2"/>
      <c r="G675" s="2"/>
    </row>
    <row r="676">
      <c r="A676" s="1" t="s">
        <v>507</v>
      </c>
      <c r="B676" s="1">
        <v>41933.0</v>
      </c>
      <c r="C676" s="3">
        <v>1.698064168E9</v>
      </c>
      <c r="D676" s="3">
        <v>1.700656168E9</v>
      </c>
      <c r="E676" s="1">
        <v>0.0</v>
      </c>
      <c r="F676" s="2"/>
      <c r="G676" s="2"/>
    </row>
    <row r="677">
      <c r="A677" s="1" t="s">
        <v>93</v>
      </c>
      <c r="B677" s="1">
        <v>46251.0</v>
      </c>
      <c r="C677" s="3">
        <v>1.697888238E9</v>
      </c>
      <c r="D677" s="3">
        <v>1.700480238E9</v>
      </c>
      <c r="E677" s="1">
        <v>0.0</v>
      </c>
      <c r="F677" s="2"/>
      <c r="G677" s="2"/>
    </row>
    <row r="678">
      <c r="A678" s="1"/>
      <c r="B678" s="1"/>
      <c r="E678" s="1"/>
      <c r="F678" s="2"/>
      <c r="G678" s="2"/>
    </row>
    <row r="679">
      <c r="A679" s="1"/>
      <c r="B679" s="1"/>
      <c r="E679" s="1"/>
      <c r="F679" s="2"/>
      <c r="G679" s="2"/>
    </row>
    <row r="680">
      <c r="A680" s="1"/>
      <c r="B680" s="1"/>
      <c r="E680" s="1"/>
      <c r="F680" s="2"/>
      <c r="G680" s="2"/>
    </row>
    <row r="681">
      <c r="A681" s="1"/>
      <c r="B681" s="1"/>
      <c r="E681" s="1"/>
      <c r="F681" s="2"/>
      <c r="G681" s="2"/>
    </row>
    <row r="682">
      <c r="A682" s="1"/>
      <c r="B682" s="1"/>
      <c r="E682" s="1"/>
      <c r="F682" s="2"/>
      <c r="G682" s="2"/>
    </row>
    <row r="683">
      <c r="A683" s="1"/>
      <c r="B683" s="1"/>
      <c r="E683" s="1"/>
      <c r="F683" s="2"/>
      <c r="G683" s="2"/>
    </row>
    <row r="684">
      <c r="A684" s="1"/>
      <c r="B684" s="1"/>
      <c r="E684" s="1"/>
      <c r="F684" s="2"/>
      <c r="G684" s="2"/>
    </row>
    <row r="685">
      <c r="A685" s="1"/>
      <c r="B685" s="1"/>
      <c r="E685" s="1"/>
      <c r="F685" s="2"/>
      <c r="G685" s="2"/>
    </row>
    <row r="686">
      <c r="A686" s="1"/>
      <c r="B686" s="1"/>
      <c r="E686" s="1"/>
      <c r="F686" s="2"/>
      <c r="G686" s="2"/>
    </row>
    <row r="687">
      <c r="A687" s="1"/>
      <c r="B687" s="1"/>
      <c r="E687" s="1"/>
      <c r="F687" s="2"/>
      <c r="G687" s="2"/>
    </row>
    <row r="688">
      <c r="A688" s="1"/>
      <c r="B688" s="1"/>
      <c r="E688" s="1"/>
      <c r="F688" s="2"/>
      <c r="G688" s="2"/>
    </row>
    <row r="689">
      <c r="A689" s="1"/>
      <c r="B689" s="1"/>
      <c r="E689" s="1"/>
      <c r="F689" s="2"/>
      <c r="G689" s="2"/>
    </row>
    <row r="690">
      <c r="A690" s="1"/>
      <c r="B690" s="1"/>
      <c r="E690" s="1"/>
      <c r="F690" s="2"/>
      <c r="G690" s="2"/>
    </row>
    <row r="691">
      <c r="A691" s="1"/>
      <c r="B691" s="1"/>
      <c r="E691" s="1"/>
      <c r="F691" s="2"/>
      <c r="G691" s="2"/>
    </row>
    <row r="692">
      <c r="A692" s="1"/>
      <c r="B692" s="1"/>
      <c r="E692" s="1"/>
      <c r="F692" s="2"/>
      <c r="G692" s="2"/>
    </row>
    <row r="693">
      <c r="A693" s="1"/>
      <c r="B693" s="1"/>
      <c r="E693" s="1"/>
      <c r="F693" s="2"/>
      <c r="G693" s="2"/>
    </row>
    <row r="694">
      <c r="A694" s="1"/>
      <c r="B694" s="1"/>
      <c r="E694" s="1"/>
      <c r="F694" s="2"/>
      <c r="G694" s="2"/>
    </row>
    <row r="695">
      <c r="A695" s="1"/>
      <c r="B695" s="1"/>
      <c r="E695" s="1"/>
      <c r="F695" s="2"/>
      <c r="G695" s="2"/>
    </row>
    <row r="696">
      <c r="A696" s="1"/>
      <c r="B696" s="1"/>
      <c r="E696" s="1"/>
      <c r="F696" s="2"/>
      <c r="G696" s="2"/>
    </row>
    <row r="697">
      <c r="A697" s="1"/>
      <c r="B697" s="1"/>
      <c r="E697" s="1"/>
      <c r="F697" s="2"/>
      <c r="G697" s="2"/>
    </row>
    <row r="698">
      <c r="A698" s="1"/>
      <c r="B698" s="1"/>
      <c r="E698" s="1"/>
      <c r="F698" s="2"/>
      <c r="G698" s="2"/>
    </row>
    <row r="699">
      <c r="A699" s="1"/>
      <c r="B699" s="1"/>
      <c r="E699" s="1"/>
      <c r="F699" s="2"/>
      <c r="G699" s="2"/>
    </row>
    <row r="700">
      <c r="A700" s="1"/>
      <c r="B700" s="1"/>
      <c r="E700" s="1"/>
      <c r="F700" s="2"/>
      <c r="G700" s="2"/>
    </row>
    <row r="701">
      <c r="A701" s="1"/>
      <c r="B701" s="1"/>
      <c r="E701" s="1"/>
      <c r="F701" s="2"/>
      <c r="G701" s="2"/>
    </row>
    <row r="702">
      <c r="A702" s="1"/>
      <c r="B702" s="1"/>
      <c r="E702" s="1"/>
      <c r="F702" s="2"/>
      <c r="G702" s="2"/>
    </row>
    <row r="703">
      <c r="A703" s="1"/>
      <c r="B703" s="1"/>
      <c r="E703" s="1"/>
      <c r="F703" s="2"/>
      <c r="G703" s="2"/>
    </row>
    <row r="704">
      <c r="A704" s="1"/>
      <c r="B704" s="1"/>
      <c r="E704" s="1"/>
      <c r="F704" s="2"/>
      <c r="G704" s="2"/>
    </row>
    <row r="705">
      <c r="A705" s="1"/>
      <c r="B705" s="1"/>
      <c r="E705" s="1"/>
      <c r="F705" s="2"/>
      <c r="G705" s="2"/>
    </row>
    <row r="706">
      <c r="A706" s="1"/>
      <c r="B706" s="1"/>
      <c r="E706" s="1"/>
      <c r="F706" s="2"/>
      <c r="G706" s="2"/>
    </row>
    <row r="707">
      <c r="A707" s="1"/>
      <c r="B707" s="1"/>
      <c r="E707" s="1"/>
      <c r="F707" s="2"/>
      <c r="G707" s="2"/>
    </row>
    <row r="708">
      <c r="A708" s="1"/>
      <c r="B708" s="1"/>
      <c r="E708" s="1"/>
      <c r="F708" s="2"/>
      <c r="G708" s="2"/>
    </row>
    <row r="709">
      <c r="A709" s="1"/>
      <c r="B709" s="1"/>
      <c r="E709" s="1"/>
      <c r="F709" s="2"/>
      <c r="G709" s="2"/>
    </row>
    <row r="710">
      <c r="A710" s="1"/>
      <c r="B710" s="1"/>
      <c r="E710" s="1"/>
      <c r="F710" s="2"/>
      <c r="G710" s="2"/>
    </row>
    <row r="711">
      <c r="A711" s="1"/>
      <c r="B711" s="1"/>
      <c r="E711" s="1"/>
      <c r="F711" s="2"/>
      <c r="G711" s="2"/>
    </row>
    <row r="712">
      <c r="A712" s="1"/>
      <c r="B712" s="1"/>
      <c r="E712" s="1"/>
      <c r="F712" s="2"/>
      <c r="G712" s="2"/>
    </row>
    <row r="713">
      <c r="A713" s="1"/>
      <c r="B713" s="1"/>
      <c r="E713" s="1"/>
      <c r="F713" s="2"/>
      <c r="G713" s="2"/>
    </row>
    <row r="714">
      <c r="A714" s="1"/>
      <c r="B714" s="1"/>
      <c r="E714" s="1"/>
      <c r="F714" s="2"/>
      <c r="G714" s="2"/>
    </row>
    <row r="715">
      <c r="A715" s="1"/>
      <c r="B715" s="1"/>
      <c r="E715" s="1"/>
      <c r="F715" s="2"/>
      <c r="G715" s="2"/>
    </row>
    <row r="716">
      <c r="A716" s="1"/>
      <c r="B716" s="1"/>
      <c r="E716" s="1"/>
      <c r="F716" s="2"/>
      <c r="G716" s="2"/>
    </row>
    <row r="717">
      <c r="A717" s="1"/>
      <c r="B717" s="1"/>
      <c r="E717" s="1"/>
      <c r="F717" s="2"/>
      <c r="G717" s="2"/>
    </row>
    <row r="718">
      <c r="A718" s="1"/>
      <c r="B718" s="1"/>
      <c r="E718" s="1"/>
      <c r="F718" s="2"/>
      <c r="G718" s="2"/>
    </row>
    <row r="719">
      <c r="A719" s="1"/>
      <c r="B719" s="1"/>
      <c r="E719" s="1"/>
      <c r="F719" s="2"/>
      <c r="G719" s="2"/>
    </row>
    <row r="720">
      <c r="A720" s="1"/>
      <c r="B720" s="1"/>
      <c r="E720" s="1"/>
      <c r="F720" s="2"/>
      <c r="G720" s="2"/>
    </row>
    <row r="721">
      <c r="A721" s="1"/>
      <c r="B721" s="1"/>
      <c r="E721" s="1"/>
      <c r="F721" s="2"/>
      <c r="G721" s="2"/>
    </row>
    <row r="722">
      <c r="A722" s="1"/>
      <c r="B722" s="1"/>
      <c r="E722" s="1"/>
      <c r="F722" s="2"/>
      <c r="G722" s="2"/>
    </row>
    <row r="723">
      <c r="A723" s="1"/>
      <c r="B723" s="1"/>
      <c r="E723" s="1"/>
      <c r="F723" s="2"/>
      <c r="G723" s="2"/>
    </row>
    <row r="724">
      <c r="A724" s="1"/>
      <c r="B724" s="1"/>
      <c r="E724" s="1"/>
      <c r="F724" s="2"/>
      <c r="G724" s="2"/>
    </row>
    <row r="725">
      <c r="A725" s="1"/>
      <c r="B725" s="1"/>
      <c r="E725" s="1"/>
      <c r="F725" s="2"/>
      <c r="G725" s="2"/>
    </row>
    <row r="726">
      <c r="A726" s="1"/>
      <c r="B726" s="1"/>
      <c r="E726" s="1"/>
      <c r="F726" s="2"/>
      <c r="G726" s="2"/>
    </row>
    <row r="727">
      <c r="A727" s="1"/>
      <c r="B727" s="1"/>
      <c r="E727" s="1"/>
      <c r="F727" s="2"/>
      <c r="G727" s="2"/>
    </row>
    <row r="728">
      <c r="A728" s="1"/>
      <c r="B728" s="1"/>
      <c r="E728" s="1"/>
      <c r="F728" s="2"/>
      <c r="G728" s="2"/>
    </row>
    <row r="729">
      <c r="A729" s="1"/>
      <c r="B729" s="1"/>
      <c r="E729" s="1"/>
      <c r="F729" s="2"/>
      <c r="G729" s="2"/>
    </row>
    <row r="730">
      <c r="A730" s="1"/>
      <c r="B730" s="1"/>
      <c r="E730" s="1"/>
      <c r="F730" s="2"/>
      <c r="G730" s="2"/>
    </row>
    <row r="731">
      <c r="A731" s="1"/>
      <c r="B731" s="1"/>
      <c r="E731" s="1"/>
      <c r="F731" s="2"/>
      <c r="G731" s="2"/>
    </row>
    <row r="732">
      <c r="A732" s="1"/>
      <c r="B732" s="1"/>
      <c r="E732" s="1"/>
      <c r="F732" s="2"/>
      <c r="G732" s="2"/>
    </row>
    <row r="733">
      <c r="A733" s="1"/>
      <c r="B733" s="1"/>
      <c r="E733" s="1"/>
      <c r="F733" s="2"/>
      <c r="G733" s="2"/>
    </row>
    <row r="734">
      <c r="A734" s="1"/>
      <c r="B734" s="1"/>
      <c r="E734" s="1"/>
      <c r="F734" s="2"/>
      <c r="G734" s="2"/>
    </row>
    <row r="735">
      <c r="A735" s="1"/>
      <c r="B735" s="1"/>
      <c r="E735" s="1"/>
      <c r="F735" s="2"/>
      <c r="G735" s="2"/>
    </row>
    <row r="736">
      <c r="A736" s="1"/>
      <c r="B736" s="1"/>
      <c r="E736" s="1"/>
      <c r="F736" s="2"/>
      <c r="G736" s="2"/>
    </row>
    <row r="737">
      <c r="A737" s="1"/>
      <c r="B737" s="1"/>
      <c r="E737" s="1"/>
      <c r="F737" s="2"/>
      <c r="G737" s="2"/>
    </row>
    <row r="738">
      <c r="A738" s="1"/>
      <c r="B738" s="1"/>
      <c r="E738" s="1"/>
      <c r="F738" s="2"/>
      <c r="G738" s="2"/>
    </row>
    <row r="739">
      <c r="A739" s="1"/>
      <c r="B739" s="1"/>
      <c r="E739" s="1"/>
      <c r="F739" s="2"/>
      <c r="G739" s="2"/>
    </row>
    <row r="740">
      <c r="A740" s="1"/>
      <c r="B740" s="1"/>
      <c r="E740" s="1"/>
      <c r="F740" s="2"/>
      <c r="G740" s="2"/>
    </row>
    <row r="741">
      <c r="A741" s="1"/>
      <c r="B741" s="1"/>
      <c r="E741" s="1"/>
      <c r="F741" s="2"/>
      <c r="G741" s="2"/>
    </row>
    <row r="742">
      <c r="A742" s="1"/>
      <c r="B742" s="1"/>
      <c r="E742" s="1"/>
      <c r="F742" s="2"/>
      <c r="G742" s="2"/>
    </row>
    <row r="743">
      <c r="A743" s="1"/>
      <c r="B743" s="1"/>
      <c r="E743" s="1"/>
      <c r="F743" s="2"/>
      <c r="G743" s="2"/>
    </row>
    <row r="744">
      <c r="A744" s="1"/>
      <c r="B744" s="1"/>
      <c r="E744" s="1"/>
      <c r="F744" s="2"/>
      <c r="G744" s="2"/>
    </row>
    <row r="745">
      <c r="A745" s="1"/>
      <c r="B745" s="1"/>
      <c r="E745" s="1"/>
      <c r="F745" s="2"/>
      <c r="G745" s="2"/>
    </row>
    <row r="746">
      <c r="A746" s="1"/>
      <c r="B746" s="1"/>
      <c r="E746" s="1"/>
      <c r="F746" s="2"/>
      <c r="G746" s="2"/>
    </row>
    <row r="747">
      <c r="A747" s="1"/>
      <c r="B747" s="1"/>
      <c r="E747" s="1"/>
      <c r="F747" s="2"/>
      <c r="G747" s="2"/>
    </row>
    <row r="748">
      <c r="A748" s="1"/>
      <c r="B748" s="1"/>
      <c r="E748" s="1"/>
      <c r="F748" s="2"/>
      <c r="G748" s="2"/>
    </row>
    <row r="749">
      <c r="A749" s="1"/>
      <c r="B749" s="1"/>
      <c r="E749" s="1"/>
      <c r="F749" s="2"/>
      <c r="G749" s="2"/>
    </row>
    <row r="750">
      <c r="A750" s="1"/>
      <c r="B750" s="1"/>
      <c r="E750" s="1"/>
      <c r="F750" s="2"/>
      <c r="G750" s="2"/>
    </row>
    <row r="751">
      <c r="A751" s="1"/>
      <c r="B751" s="1"/>
      <c r="E751" s="1"/>
      <c r="F751" s="2"/>
      <c r="G751" s="2"/>
    </row>
    <row r="752">
      <c r="A752" s="1"/>
      <c r="B752" s="1"/>
      <c r="E752" s="1"/>
      <c r="F752" s="2"/>
      <c r="G752" s="2"/>
    </row>
    <row r="753">
      <c r="A753" s="1"/>
      <c r="B753" s="1"/>
      <c r="E753" s="1"/>
      <c r="F753" s="2"/>
      <c r="G753" s="2"/>
    </row>
    <row r="754">
      <c r="A754" s="1"/>
      <c r="B754" s="1"/>
      <c r="E754" s="1"/>
      <c r="F754" s="2"/>
      <c r="G754" s="2"/>
    </row>
    <row r="755">
      <c r="A755" s="1"/>
      <c r="B755" s="1"/>
      <c r="E755" s="1"/>
      <c r="F755" s="2"/>
      <c r="G755" s="2"/>
    </row>
    <row r="756">
      <c r="A756" s="1"/>
      <c r="B756" s="1"/>
      <c r="E756" s="1"/>
      <c r="F756" s="2"/>
      <c r="G756" s="2"/>
    </row>
    <row r="757">
      <c r="A757" s="1"/>
      <c r="B757" s="1"/>
      <c r="E757" s="1"/>
      <c r="F757" s="2"/>
      <c r="G757" s="2"/>
    </row>
    <row r="758">
      <c r="A758" s="1"/>
      <c r="B758" s="1"/>
      <c r="E758" s="1"/>
      <c r="F758" s="2"/>
      <c r="G758" s="2"/>
    </row>
    <row r="759">
      <c r="A759" s="1"/>
      <c r="B759" s="1"/>
      <c r="E759" s="1"/>
      <c r="F759" s="2"/>
      <c r="G759" s="2"/>
    </row>
    <row r="760">
      <c r="A760" s="1"/>
      <c r="B760" s="1"/>
      <c r="E760" s="1"/>
      <c r="F760" s="2"/>
      <c r="G760" s="2"/>
    </row>
    <row r="761">
      <c r="A761" s="1"/>
      <c r="B761" s="1"/>
      <c r="E761" s="1"/>
      <c r="F761" s="2"/>
      <c r="G761" s="2"/>
    </row>
    <row r="762">
      <c r="A762" s="1"/>
      <c r="B762" s="1"/>
      <c r="E762" s="1"/>
      <c r="F762" s="2"/>
      <c r="G762" s="2"/>
    </row>
    <row r="763">
      <c r="A763" s="1"/>
      <c r="B763" s="1"/>
      <c r="E763" s="1"/>
      <c r="F763" s="2"/>
      <c r="G763" s="2"/>
    </row>
    <row r="764">
      <c r="A764" s="1"/>
      <c r="B764" s="1"/>
      <c r="E764" s="1"/>
      <c r="F764" s="2"/>
      <c r="G764" s="2"/>
    </row>
    <row r="765">
      <c r="A765" s="1"/>
      <c r="B765" s="1"/>
      <c r="E765" s="1"/>
      <c r="F765" s="2"/>
      <c r="G765" s="2"/>
    </row>
    <row r="766">
      <c r="A766" s="1"/>
      <c r="B766" s="1"/>
      <c r="E766" s="1"/>
      <c r="F766" s="2"/>
      <c r="G766" s="2"/>
    </row>
    <row r="767">
      <c r="A767" s="1"/>
      <c r="B767" s="1"/>
      <c r="E767" s="1"/>
      <c r="F767" s="2"/>
      <c r="G767" s="2"/>
    </row>
    <row r="768">
      <c r="A768" s="1"/>
      <c r="B768" s="1"/>
      <c r="E768" s="1"/>
      <c r="F768" s="2"/>
      <c r="G768" s="2"/>
    </row>
    <row r="769">
      <c r="A769" s="1"/>
      <c r="B769" s="1"/>
      <c r="E769" s="1"/>
      <c r="F769" s="2"/>
      <c r="G769" s="2"/>
    </row>
    <row r="770">
      <c r="A770" s="1"/>
      <c r="B770" s="1"/>
      <c r="E770" s="1"/>
      <c r="F770" s="2"/>
      <c r="G770" s="2"/>
    </row>
    <row r="771">
      <c r="A771" s="1"/>
      <c r="B771" s="1"/>
      <c r="E771" s="1"/>
      <c r="F771" s="2"/>
      <c r="G771" s="2"/>
    </row>
    <row r="772">
      <c r="A772" s="1"/>
      <c r="B772" s="1"/>
      <c r="E772" s="1"/>
      <c r="F772" s="2"/>
      <c r="G772" s="2"/>
    </row>
    <row r="773">
      <c r="A773" s="1"/>
      <c r="B773" s="1"/>
      <c r="E773" s="1"/>
      <c r="F773" s="2"/>
      <c r="G773" s="2"/>
    </row>
    <row r="774">
      <c r="A774" s="1"/>
      <c r="B774" s="1"/>
      <c r="E774" s="1"/>
      <c r="F774" s="2"/>
      <c r="G774" s="2"/>
    </row>
    <row r="775">
      <c r="A775" s="1"/>
      <c r="B775" s="1"/>
      <c r="E775" s="1"/>
      <c r="F775" s="2"/>
      <c r="G775" s="2"/>
    </row>
    <row r="776">
      <c r="A776" s="1"/>
      <c r="B776" s="1"/>
      <c r="E776" s="1"/>
      <c r="F776" s="2"/>
      <c r="G776" s="2"/>
    </row>
    <row r="777">
      <c r="A777" s="1"/>
      <c r="B777" s="1"/>
      <c r="E777" s="1"/>
      <c r="F777" s="2"/>
      <c r="G777" s="2"/>
    </row>
    <row r="778">
      <c r="A778" s="1"/>
      <c r="B778" s="1"/>
      <c r="E778" s="1"/>
      <c r="F778" s="2"/>
      <c r="G778" s="2"/>
    </row>
    <row r="779">
      <c r="A779" s="1"/>
      <c r="B779" s="1"/>
      <c r="E779" s="1"/>
      <c r="F779" s="2"/>
      <c r="G779" s="2"/>
    </row>
    <row r="780">
      <c r="A780" s="1"/>
      <c r="B780" s="1"/>
      <c r="E780" s="1"/>
      <c r="F780" s="2"/>
      <c r="G780" s="2"/>
    </row>
    <row r="781">
      <c r="A781" s="1"/>
      <c r="B781" s="1"/>
      <c r="E781" s="1"/>
      <c r="F781" s="2"/>
      <c r="G781" s="2"/>
    </row>
    <row r="782">
      <c r="A782" s="1"/>
      <c r="B782" s="1"/>
      <c r="E782" s="1"/>
      <c r="F782" s="2"/>
      <c r="G782" s="2"/>
    </row>
    <row r="783">
      <c r="A783" s="1"/>
      <c r="B783" s="1"/>
      <c r="E783" s="1"/>
      <c r="F783" s="2"/>
      <c r="G783" s="2"/>
    </row>
    <row r="784">
      <c r="A784" s="1"/>
      <c r="B784" s="1"/>
      <c r="E784" s="1"/>
      <c r="F784" s="2"/>
      <c r="G784" s="2"/>
    </row>
    <row r="785">
      <c r="A785" s="1"/>
      <c r="B785" s="1"/>
      <c r="E785" s="1"/>
      <c r="F785" s="2"/>
      <c r="G785" s="2"/>
    </row>
    <row r="786">
      <c r="A786" s="1"/>
      <c r="B786" s="1"/>
      <c r="E786" s="1"/>
      <c r="F786" s="2"/>
      <c r="G786" s="2"/>
    </row>
    <row r="787">
      <c r="A787" s="1"/>
      <c r="B787" s="1"/>
      <c r="E787" s="1"/>
      <c r="F787" s="2"/>
      <c r="G787" s="2"/>
    </row>
    <row r="788">
      <c r="A788" s="1"/>
      <c r="B788" s="1"/>
      <c r="E788" s="1"/>
      <c r="F788" s="2"/>
      <c r="G788" s="2"/>
    </row>
    <row r="789">
      <c r="A789" s="1"/>
      <c r="B789" s="1"/>
      <c r="E789" s="1"/>
      <c r="F789" s="2"/>
      <c r="G789" s="2"/>
    </row>
    <row r="790">
      <c r="A790" s="1"/>
      <c r="B790" s="1"/>
      <c r="E790" s="1"/>
      <c r="F790" s="2"/>
      <c r="G790" s="2"/>
    </row>
    <row r="791">
      <c r="A791" s="1"/>
      <c r="B791" s="1"/>
      <c r="E791" s="1"/>
      <c r="F791" s="2"/>
      <c r="G791" s="2"/>
    </row>
    <row r="792">
      <c r="A792" s="1"/>
      <c r="B792" s="1"/>
      <c r="E792" s="1"/>
      <c r="F792" s="2"/>
      <c r="G792" s="2"/>
    </row>
    <row r="793">
      <c r="A793" s="1"/>
      <c r="B793" s="1"/>
      <c r="E793" s="1"/>
      <c r="F793" s="2"/>
      <c r="G793" s="2"/>
    </row>
    <row r="794">
      <c r="A794" s="1"/>
      <c r="B794" s="1"/>
      <c r="E794" s="1"/>
      <c r="F794" s="2"/>
      <c r="G794" s="2"/>
    </row>
    <row r="795">
      <c r="A795" s="1"/>
      <c r="B795" s="1"/>
      <c r="E795" s="1"/>
      <c r="F795" s="2"/>
      <c r="G795" s="2"/>
    </row>
    <row r="796">
      <c r="A796" s="1"/>
      <c r="B796" s="1"/>
      <c r="E796" s="1"/>
      <c r="F796" s="2"/>
      <c r="G796" s="2"/>
    </row>
    <row r="797">
      <c r="A797" s="1"/>
      <c r="B797" s="1"/>
      <c r="E797" s="1"/>
      <c r="F797" s="2"/>
      <c r="G797" s="2"/>
    </row>
    <row r="798">
      <c r="A798" s="1"/>
      <c r="B798" s="1"/>
      <c r="E798" s="1"/>
      <c r="F798" s="2"/>
      <c r="G798" s="2"/>
    </row>
    <row r="799">
      <c r="A799" s="1"/>
      <c r="B799" s="1"/>
      <c r="E799" s="1"/>
      <c r="F799" s="2"/>
      <c r="G799" s="2"/>
    </row>
    <row r="800">
      <c r="A800" s="1"/>
      <c r="B800" s="1"/>
      <c r="E800" s="1"/>
      <c r="F800" s="2"/>
      <c r="G800" s="2"/>
    </row>
    <row r="801">
      <c r="A801" s="1"/>
      <c r="B801" s="1"/>
      <c r="E801" s="1"/>
      <c r="F801" s="2"/>
      <c r="G801" s="2"/>
    </row>
    <row r="802">
      <c r="A802" s="1"/>
      <c r="B802" s="1"/>
      <c r="E802" s="1"/>
      <c r="F802" s="2"/>
      <c r="G802" s="2"/>
    </row>
    <row r="803">
      <c r="A803" s="1"/>
      <c r="B803" s="1"/>
      <c r="E803" s="1"/>
      <c r="F803" s="2"/>
      <c r="G803" s="2"/>
    </row>
    <row r="804">
      <c r="A804" s="1"/>
      <c r="B804" s="1"/>
      <c r="E804" s="1"/>
      <c r="F804" s="2"/>
      <c r="G804" s="2"/>
    </row>
    <row r="805">
      <c r="A805" s="1"/>
      <c r="B805" s="1"/>
      <c r="E805" s="1"/>
      <c r="F805" s="2"/>
      <c r="G805" s="2"/>
    </row>
    <row r="806">
      <c r="A806" s="1"/>
      <c r="B806" s="1"/>
      <c r="E806" s="1"/>
      <c r="F806" s="2"/>
      <c r="G806" s="2"/>
    </row>
    <row r="807">
      <c r="A807" s="1"/>
      <c r="B807" s="1"/>
      <c r="E807" s="1"/>
      <c r="F807" s="2"/>
      <c r="G807" s="2"/>
    </row>
    <row r="808">
      <c r="A808" s="1"/>
      <c r="B808" s="1"/>
      <c r="E808" s="1"/>
      <c r="F808" s="2"/>
      <c r="G808" s="2"/>
    </row>
    <row r="809">
      <c r="A809" s="1"/>
      <c r="B809" s="1"/>
      <c r="E809" s="1"/>
      <c r="F809" s="2"/>
      <c r="G809" s="2"/>
    </row>
    <row r="810">
      <c r="A810" s="1"/>
      <c r="B810" s="1"/>
      <c r="E810" s="1"/>
      <c r="F810" s="2"/>
      <c r="G810" s="2"/>
    </row>
    <row r="811">
      <c r="A811" s="1"/>
      <c r="B811" s="1"/>
      <c r="E811" s="1"/>
      <c r="F811" s="2"/>
      <c r="G811" s="2"/>
    </row>
    <row r="812">
      <c r="A812" s="1"/>
      <c r="B812" s="1"/>
      <c r="E812" s="1"/>
      <c r="F812" s="2"/>
      <c r="G812" s="2"/>
    </row>
    <row r="813">
      <c r="A813" s="1"/>
      <c r="B813" s="1"/>
      <c r="E813" s="1"/>
      <c r="F813" s="2"/>
      <c r="G813" s="2"/>
    </row>
    <row r="814">
      <c r="A814" s="1"/>
      <c r="B814" s="1"/>
      <c r="E814" s="1"/>
      <c r="F814" s="2"/>
      <c r="G814" s="2"/>
    </row>
    <row r="815">
      <c r="A815" s="1"/>
      <c r="B815" s="1"/>
      <c r="E815" s="1"/>
      <c r="F815" s="2"/>
      <c r="G815" s="2"/>
    </row>
    <row r="816">
      <c r="A816" s="1"/>
      <c r="B816" s="1"/>
      <c r="E816" s="1"/>
      <c r="F816" s="2"/>
      <c r="G816" s="2"/>
    </row>
    <row r="817">
      <c r="A817" s="1"/>
      <c r="B817" s="1"/>
      <c r="E817" s="1"/>
      <c r="F817" s="2"/>
      <c r="G817" s="2"/>
    </row>
    <row r="818">
      <c r="A818" s="1"/>
      <c r="B818" s="1"/>
      <c r="E818" s="1"/>
      <c r="F818" s="2"/>
      <c r="G818" s="2"/>
    </row>
    <row r="819">
      <c r="A819" s="1"/>
      <c r="B819" s="1"/>
      <c r="E819" s="1"/>
      <c r="F819" s="2"/>
      <c r="G819" s="2"/>
    </row>
    <row r="820">
      <c r="A820" s="1"/>
      <c r="B820" s="1"/>
      <c r="E820" s="1"/>
      <c r="F820" s="2"/>
      <c r="G820" s="2"/>
    </row>
    <row r="821">
      <c r="A821" s="1"/>
      <c r="B821" s="1"/>
      <c r="E821" s="1"/>
      <c r="F821" s="2"/>
      <c r="G821" s="2"/>
    </row>
    <row r="822">
      <c r="A822" s="1"/>
      <c r="B822" s="1"/>
      <c r="E822" s="1"/>
      <c r="F822" s="2"/>
      <c r="G822" s="2"/>
    </row>
    <row r="823">
      <c r="A823" s="1"/>
      <c r="B823" s="1"/>
      <c r="E823" s="1"/>
      <c r="F823" s="2"/>
      <c r="G823" s="2"/>
    </row>
    <row r="824">
      <c r="A824" s="1"/>
      <c r="B824" s="1"/>
      <c r="E824" s="1"/>
      <c r="F824" s="2"/>
      <c r="G824" s="2"/>
    </row>
    <row r="825">
      <c r="A825" s="1"/>
      <c r="B825" s="1"/>
      <c r="E825" s="1"/>
      <c r="F825" s="2"/>
      <c r="G825" s="2"/>
    </row>
    <row r="826">
      <c r="A826" s="1"/>
      <c r="B826" s="1"/>
      <c r="E826" s="1"/>
      <c r="F826" s="2"/>
      <c r="G826" s="2"/>
    </row>
    <row r="827">
      <c r="A827" s="1"/>
      <c r="B827" s="1"/>
      <c r="E827" s="1"/>
      <c r="F827" s="2"/>
      <c r="G827" s="2"/>
    </row>
    <row r="828">
      <c r="A828" s="1"/>
      <c r="B828" s="1"/>
      <c r="E828" s="1"/>
      <c r="F828" s="2"/>
      <c r="G828" s="2"/>
    </row>
    <row r="829">
      <c r="A829" s="1"/>
      <c r="B829" s="1"/>
      <c r="E829" s="1"/>
      <c r="F829" s="2"/>
      <c r="G829" s="2"/>
    </row>
    <row r="830">
      <c r="A830" s="1"/>
      <c r="B830" s="1"/>
      <c r="E830" s="1"/>
      <c r="F830" s="2"/>
      <c r="G830" s="2"/>
    </row>
    <row r="831">
      <c r="A831" s="1"/>
      <c r="B831" s="1"/>
      <c r="E831" s="1"/>
      <c r="F831" s="2"/>
      <c r="G831" s="2"/>
    </row>
    <row r="832">
      <c r="A832" s="1"/>
      <c r="B832" s="1"/>
      <c r="E832" s="1"/>
      <c r="F832" s="2"/>
      <c r="G832" s="2"/>
    </row>
    <row r="833">
      <c r="A833" s="1"/>
      <c r="B833" s="1"/>
      <c r="E833" s="1"/>
      <c r="F833" s="2"/>
      <c r="G833" s="2"/>
    </row>
    <row r="834">
      <c r="A834" s="1"/>
      <c r="B834" s="1"/>
      <c r="E834" s="1"/>
      <c r="F834" s="2"/>
      <c r="G834" s="2"/>
    </row>
    <row r="835">
      <c r="A835" s="1"/>
      <c r="B835" s="1"/>
      <c r="E835" s="1"/>
      <c r="F835" s="2"/>
      <c r="G835" s="2"/>
    </row>
    <row r="836">
      <c r="A836" s="1"/>
      <c r="B836" s="1"/>
      <c r="E836" s="1"/>
      <c r="F836" s="2"/>
      <c r="G836" s="2"/>
    </row>
    <row r="837">
      <c r="A837" s="1"/>
      <c r="B837" s="1"/>
      <c r="E837" s="1"/>
      <c r="F837" s="2"/>
      <c r="G837" s="2"/>
    </row>
    <row r="838">
      <c r="A838" s="1"/>
      <c r="B838" s="1"/>
      <c r="E838" s="1"/>
      <c r="F838" s="2"/>
      <c r="G838" s="2"/>
    </row>
    <row r="839">
      <c r="A839" s="1"/>
      <c r="B839" s="1"/>
      <c r="E839" s="1"/>
      <c r="F839" s="2"/>
      <c r="G839" s="2"/>
    </row>
    <row r="840">
      <c r="A840" s="1"/>
      <c r="B840" s="1"/>
      <c r="E840" s="1"/>
      <c r="F840" s="2"/>
      <c r="G840" s="2"/>
    </row>
    <row r="841">
      <c r="A841" s="1"/>
      <c r="B841" s="1"/>
      <c r="E841" s="1"/>
      <c r="F841" s="2"/>
      <c r="G841" s="2"/>
    </row>
    <row r="842">
      <c r="A842" s="1"/>
      <c r="B842" s="1"/>
      <c r="E842" s="1"/>
      <c r="F842" s="2"/>
      <c r="G842" s="2"/>
    </row>
    <row r="843">
      <c r="A843" s="1"/>
      <c r="B843" s="1"/>
      <c r="E843" s="1"/>
      <c r="F843" s="2"/>
      <c r="G843" s="2"/>
    </row>
    <row r="844">
      <c r="A844" s="1"/>
      <c r="B844" s="1"/>
      <c r="E844" s="1"/>
      <c r="F844" s="2"/>
      <c r="G844" s="2"/>
    </row>
    <row r="845">
      <c r="A845" s="1"/>
      <c r="B845" s="1"/>
      <c r="E845" s="1"/>
      <c r="F845" s="2"/>
      <c r="G845" s="2"/>
    </row>
    <row r="846">
      <c r="A846" s="1"/>
      <c r="B846" s="1"/>
      <c r="E846" s="1"/>
      <c r="F846" s="2"/>
      <c r="G846" s="2"/>
    </row>
    <row r="847">
      <c r="A847" s="1"/>
      <c r="B847" s="1"/>
      <c r="E847" s="1"/>
      <c r="F847" s="2"/>
      <c r="G847" s="2"/>
    </row>
    <row r="848">
      <c r="A848" s="1"/>
      <c r="B848" s="1"/>
      <c r="E848" s="1"/>
      <c r="F848" s="2"/>
      <c r="G848" s="2"/>
    </row>
    <row r="849">
      <c r="A849" s="1"/>
      <c r="B849" s="1"/>
      <c r="E849" s="1"/>
      <c r="F849" s="2"/>
      <c r="G849" s="2"/>
    </row>
    <row r="850">
      <c r="A850" s="1"/>
      <c r="B850" s="1"/>
      <c r="E850" s="1"/>
      <c r="F850" s="2"/>
      <c r="G850" s="2"/>
    </row>
    <row r="851">
      <c r="A851" s="1"/>
      <c r="B851" s="1"/>
      <c r="E851" s="1"/>
      <c r="F851" s="2"/>
      <c r="G851" s="2"/>
    </row>
    <row r="852">
      <c r="A852" s="1"/>
      <c r="B852" s="1"/>
      <c r="E852" s="1"/>
      <c r="F852" s="2"/>
      <c r="G852" s="2"/>
    </row>
    <row r="853">
      <c r="A853" s="1"/>
      <c r="B853" s="1"/>
      <c r="E853" s="1"/>
      <c r="F853" s="2"/>
      <c r="G853" s="2"/>
    </row>
    <row r="854">
      <c r="A854" s="1"/>
      <c r="B854" s="1"/>
      <c r="E854" s="1"/>
      <c r="F854" s="2"/>
      <c r="G854" s="2"/>
    </row>
    <row r="855">
      <c r="A855" s="1"/>
      <c r="B855" s="1"/>
      <c r="E855" s="1"/>
      <c r="F855" s="2"/>
      <c r="G855" s="2"/>
    </row>
    <row r="856">
      <c r="A856" s="1"/>
      <c r="B856" s="1"/>
      <c r="E856" s="1"/>
      <c r="F856" s="2"/>
      <c r="G856" s="2"/>
    </row>
    <row r="857">
      <c r="A857" s="1"/>
      <c r="B857" s="1"/>
      <c r="E857" s="1"/>
      <c r="F857" s="2"/>
      <c r="G857" s="2"/>
    </row>
    <row r="858">
      <c r="A858" s="1"/>
      <c r="B858" s="1"/>
      <c r="E858" s="1"/>
      <c r="F858" s="2"/>
      <c r="G858" s="2"/>
    </row>
    <row r="859">
      <c r="A859" s="1"/>
      <c r="B859" s="1"/>
      <c r="E859" s="1"/>
      <c r="F859" s="2"/>
      <c r="G859" s="2"/>
    </row>
    <row r="860">
      <c r="A860" s="1"/>
      <c r="B860" s="1"/>
      <c r="E860" s="1"/>
      <c r="F860" s="2"/>
      <c r="G860" s="2"/>
    </row>
    <row r="861">
      <c r="A861" s="1"/>
      <c r="B861" s="1"/>
      <c r="E861" s="1"/>
      <c r="F861" s="2"/>
      <c r="G861" s="2"/>
    </row>
    <row r="862">
      <c r="A862" s="1"/>
      <c r="B862" s="1"/>
      <c r="E862" s="1"/>
      <c r="F862" s="2"/>
      <c r="G862" s="2"/>
    </row>
    <row r="863">
      <c r="A863" s="1"/>
      <c r="B863" s="1"/>
      <c r="E863" s="1"/>
      <c r="F863" s="2"/>
      <c r="G863" s="2"/>
    </row>
    <row r="864">
      <c r="A864" s="1"/>
      <c r="B864" s="1"/>
      <c r="E864" s="1"/>
      <c r="F864" s="2"/>
      <c r="G864" s="2"/>
    </row>
    <row r="865">
      <c r="A865" s="1"/>
      <c r="B865" s="1"/>
      <c r="E865" s="1"/>
      <c r="F865" s="2"/>
      <c r="G865" s="2"/>
    </row>
    <row r="866">
      <c r="A866" s="1"/>
      <c r="B866" s="1"/>
      <c r="E866" s="1"/>
      <c r="F866" s="2"/>
      <c r="G866" s="2"/>
    </row>
    <row r="867">
      <c r="A867" s="1"/>
      <c r="B867" s="1"/>
      <c r="E867" s="1"/>
      <c r="F867" s="2"/>
      <c r="G867" s="2"/>
    </row>
    <row r="868">
      <c r="A868" s="1"/>
      <c r="B868" s="1"/>
      <c r="E868" s="1"/>
      <c r="F868" s="2"/>
      <c r="G868" s="2"/>
    </row>
    <row r="869">
      <c r="A869" s="1"/>
      <c r="B869" s="1"/>
      <c r="E869" s="1"/>
      <c r="F869" s="2"/>
      <c r="G869" s="2"/>
    </row>
    <row r="870">
      <c r="A870" s="1"/>
      <c r="B870" s="1"/>
      <c r="E870" s="1"/>
      <c r="F870" s="2"/>
      <c r="G870" s="2"/>
    </row>
    <row r="871">
      <c r="A871" s="1"/>
      <c r="B871" s="1"/>
      <c r="E871" s="1"/>
      <c r="F871" s="2"/>
      <c r="G871" s="2"/>
    </row>
    <row r="872">
      <c r="A872" s="1"/>
      <c r="B872" s="1"/>
      <c r="E872" s="1"/>
      <c r="F872" s="2"/>
      <c r="G872" s="2"/>
    </row>
    <row r="873">
      <c r="A873" s="1"/>
      <c r="B873" s="1"/>
      <c r="E873" s="1"/>
      <c r="F873" s="2"/>
      <c r="G873" s="2"/>
    </row>
    <row r="874">
      <c r="A874" s="1"/>
      <c r="B874" s="1"/>
      <c r="E874" s="1"/>
      <c r="F874" s="2"/>
      <c r="G874" s="2"/>
    </row>
    <row r="875">
      <c r="A875" s="1"/>
      <c r="B875" s="1"/>
      <c r="E875" s="1"/>
      <c r="F875" s="2"/>
      <c r="G875" s="2"/>
    </row>
    <row r="876">
      <c r="A876" s="1"/>
      <c r="B876" s="1"/>
      <c r="E876" s="1"/>
      <c r="F876" s="2"/>
      <c r="G876" s="2"/>
    </row>
    <row r="877">
      <c r="A877" s="1"/>
      <c r="B877" s="1"/>
      <c r="E877" s="1"/>
      <c r="F877" s="2"/>
      <c r="G877" s="2"/>
    </row>
    <row r="878">
      <c r="A878" s="1"/>
      <c r="B878" s="1"/>
      <c r="E878" s="1"/>
      <c r="F878" s="2"/>
      <c r="G878" s="2"/>
    </row>
    <row r="879">
      <c r="A879" s="1"/>
      <c r="B879" s="1"/>
      <c r="E879" s="1"/>
      <c r="F879" s="2"/>
      <c r="G879" s="2"/>
    </row>
    <row r="880">
      <c r="A880" s="1"/>
      <c r="B880" s="1"/>
      <c r="E880" s="1"/>
      <c r="F880" s="2"/>
      <c r="G880" s="2"/>
    </row>
    <row r="881">
      <c r="A881" s="1"/>
      <c r="B881" s="1"/>
      <c r="E881" s="1"/>
      <c r="F881" s="2"/>
      <c r="G881" s="2"/>
    </row>
    <row r="882">
      <c r="A882" s="1"/>
      <c r="B882" s="1"/>
      <c r="E882" s="1"/>
      <c r="F882" s="2"/>
      <c r="G882" s="2"/>
    </row>
    <row r="883">
      <c r="A883" s="1"/>
      <c r="B883" s="1"/>
      <c r="E883" s="1"/>
      <c r="F883" s="2"/>
      <c r="G883" s="2"/>
    </row>
    <row r="884">
      <c r="A884" s="1"/>
      <c r="B884" s="1"/>
      <c r="E884" s="1"/>
      <c r="F884" s="2"/>
      <c r="G884" s="2"/>
    </row>
    <row r="885">
      <c r="A885" s="1"/>
      <c r="B885" s="1"/>
      <c r="E885" s="1"/>
      <c r="F885" s="2"/>
      <c r="G885" s="2"/>
    </row>
    <row r="886">
      <c r="A886" s="1"/>
      <c r="B886" s="1"/>
      <c r="E886" s="1"/>
      <c r="F886" s="2"/>
      <c r="G886" s="2"/>
    </row>
    <row r="887">
      <c r="A887" s="1"/>
      <c r="B887" s="1"/>
      <c r="E887" s="1"/>
      <c r="F887" s="2"/>
      <c r="G887" s="2"/>
    </row>
    <row r="888">
      <c r="A888" s="1"/>
      <c r="B888" s="1"/>
      <c r="E888" s="1"/>
      <c r="F888" s="2"/>
      <c r="G888" s="2"/>
    </row>
    <row r="889">
      <c r="A889" s="1"/>
      <c r="B889" s="1"/>
      <c r="E889" s="1"/>
      <c r="F889" s="2"/>
      <c r="G889" s="2"/>
    </row>
    <row r="890">
      <c r="A890" s="1"/>
      <c r="B890" s="1"/>
      <c r="E890" s="1"/>
      <c r="F890" s="2"/>
      <c r="G890" s="2"/>
    </row>
    <row r="891">
      <c r="A891" s="1"/>
      <c r="B891" s="1"/>
      <c r="E891" s="1"/>
      <c r="F891" s="2"/>
      <c r="G891" s="2"/>
    </row>
    <row r="892">
      <c r="A892" s="1"/>
      <c r="B892" s="1"/>
      <c r="E892" s="1"/>
      <c r="F892" s="2"/>
      <c r="G892" s="2"/>
    </row>
    <row r="893">
      <c r="A893" s="1"/>
      <c r="B893" s="1"/>
      <c r="E893" s="1"/>
      <c r="F893" s="2"/>
      <c r="G893" s="2"/>
    </row>
    <row r="894">
      <c r="A894" s="1"/>
      <c r="B894" s="1"/>
      <c r="E894" s="1"/>
      <c r="F894" s="2"/>
      <c r="G894" s="2"/>
    </row>
    <row r="895">
      <c r="A895" s="1"/>
      <c r="B895" s="1"/>
      <c r="E895" s="1"/>
      <c r="F895" s="2"/>
      <c r="G895" s="2"/>
    </row>
    <row r="896">
      <c r="A896" s="1"/>
      <c r="B896" s="1"/>
      <c r="E896" s="1"/>
      <c r="F896" s="2"/>
      <c r="G896" s="2"/>
    </row>
    <row r="897">
      <c r="A897" s="1"/>
      <c r="B897" s="1"/>
      <c r="E897" s="1"/>
      <c r="F897" s="2"/>
      <c r="G897" s="2"/>
    </row>
    <row r="898">
      <c r="A898" s="1"/>
      <c r="B898" s="1"/>
      <c r="E898" s="1"/>
      <c r="F898" s="2"/>
      <c r="G898" s="2"/>
    </row>
    <row r="899">
      <c r="A899" s="1"/>
      <c r="B899" s="1"/>
      <c r="E899" s="1"/>
      <c r="F899" s="2"/>
      <c r="G899" s="2"/>
    </row>
    <row r="900">
      <c r="A900" s="1"/>
      <c r="B900" s="1"/>
      <c r="E900" s="1"/>
      <c r="F900" s="2"/>
      <c r="G900" s="2"/>
    </row>
    <row r="901">
      <c r="A901" s="1"/>
      <c r="B901" s="1"/>
      <c r="E901" s="1"/>
      <c r="F901" s="2"/>
      <c r="G901" s="2"/>
    </row>
    <row r="902">
      <c r="A902" s="1"/>
      <c r="B902" s="1"/>
      <c r="E902" s="1"/>
      <c r="F902" s="2"/>
      <c r="G902" s="2"/>
    </row>
    <row r="903">
      <c r="A903" s="1"/>
      <c r="B903" s="1"/>
      <c r="E903" s="1"/>
      <c r="F903" s="2"/>
      <c r="G903" s="2"/>
    </row>
    <row r="904">
      <c r="A904" s="1"/>
      <c r="B904" s="1"/>
      <c r="E904" s="1"/>
      <c r="F904" s="2"/>
      <c r="G904" s="2"/>
    </row>
    <row r="905">
      <c r="A905" s="1"/>
      <c r="B905" s="1"/>
      <c r="E905" s="1"/>
      <c r="F905" s="2"/>
      <c r="G905" s="2"/>
    </row>
    <row r="906">
      <c r="A906" s="1"/>
      <c r="B906" s="1"/>
      <c r="E906" s="1"/>
      <c r="F906" s="2"/>
      <c r="G906" s="2"/>
    </row>
    <row r="907">
      <c r="A907" s="1"/>
      <c r="B907" s="1"/>
      <c r="E907" s="1"/>
      <c r="F907" s="2"/>
      <c r="G907" s="2"/>
    </row>
    <row r="908">
      <c r="A908" s="1"/>
      <c r="B908" s="1"/>
      <c r="E908" s="1"/>
      <c r="F908" s="2"/>
      <c r="G908" s="2"/>
    </row>
    <row r="909">
      <c r="A909" s="1"/>
      <c r="B909" s="1"/>
      <c r="E909" s="1"/>
      <c r="F909" s="2"/>
      <c r="G909" s="2"/>
    </row>
    <row r="910">
      <c r="A910" s="1"/>
      <c r="B910" s="1"/>
      <c r="E910" s="1"/>
      <c r="F910" s="2"/>
      <c r="G910" s="2"/>
    </row>
    <row r="911">
      <c r="A911" s="1"/>
      <c r="B911" s="1"/>
      <c r="E911" s="1"/>
      <c r="F911" s="2"/>
      <c r="G911" s="2"/>
    </row>
    <row r="912">
      <c r="A912" s="1"/>
      <c r="B912" s="1"/>
      <c r="E912" s="1"/>
      <c r="F912" s="2"/>
      <c r="G912" s="2"/>
    </row>
    <row r="913">
      <c r="A913" s="1"/>
      <c r="B913" s="1"/>
      <c r="E913" s="1"/>
      <c r="F913" s="2"/>
      <c r="G913" s="2"/>
    </row>
    <row r="914">
      <c r="A914" s="1"/>
      <c r="B914" s="1"/>
      <c r="E914" s="1"/>
      <c r="F914" s="2"/>
      <c r="G914" s="2"/>
    </row>
    <row r="915">
      <c r="A915" s="1"/>
      <c r="B915" s="1"/>
      <c r="E915" s="1"/>
      <c r="F915" s="2"/>
      <c r="G915" s="2"/>
    </row>
    <row r="916">
      <c r="A916" s="1"/>
      <c r="B916" s="1"/>
      <c r="E916" s="1"/>
      <c r="F916" s="2"/>
      <c r="G916" s="2"/>
    </row>
    <row r="917">
      <c r="A917" s="1"/>
      <c r="B917" s="1"/>
      <c r="E917" s="1"/>
      <c r="F917" s="2"/>
      <c r="G917" s="2"/>
    </row>
    <row r="918">
      <c r="A918" s="1"/>
      <c r="B918" s="1"/>
      <c r="E918" s="1"/>
      <c r="F918" s="2"/>
      <c r="G918" s="2"/>
    </row>
    <row r="919">
      <c r="A919" s="1"/>
      <c r="B919" s="1"/>
      <c r="E919" s="1"/>
      <c r="F919" s="2"/>
      <c r="G919" s="2"/>
    </row>
    <row r="920">
      <c r="A920" s="1"/>
      <c r="B920" s="1"/>
      <c r="E920" s="1"/>
      <c r="F920" s="2"/>
      <c r="G920" s="2"/>
    </row>
    <row r="921">
      <c r="A921" s="1"/>
      <c r="B921" s="1"/>
      <c r="E921" s="1"/>
      <c r="F921" s="2"/>
      <c r="G921" s="2"/>
    </row>
    <row r="922">
      <c r="A922" s="1"/>
      <c r="B922" s="1"/>
      <c r="E922" s="1"/>
      <c r="F922" s="2"/>
      <c r="G922" s="2"/>
    </row>
    <row r="923">
      <c r="A923" s="1"/>
      <c r="B923" s="1"/>
      <c r="E923" s="1"/>
      <c r="F923" s="2"/>
      <c r="G923" s="2"/>
    </row>
    <row r="924">
      <c r="A924" s="1"/>
      <c r="B924" s="1"/>
      <c r="E924" s="1"/>
      <c r="F924" s="2"/>
      <c r="G924" s="2"/>
    </row>
    <row r="925">
      <c r="A925" s="1"/>
      <c r="B925" s="1"/>
      <c r="E925" s="1"/>
      <c r="F925" s="2"/>
      <c r="G925" s="2"/>
    </row>
    <row r="926">
      <c r="A926" s="1"/>
      <c r="B926" s="1"/>
      <c r="E926" s="1"/>
      <c r="F926" s="2"/>
      <c r="G926" s="2"/>
    </row>
    <row r="927">
      <c r="A927" s="1"/>
      <c r="B927" s="1"/>
      <c r="E927" s="1"/>
      <c r="F927" s="2"/>
      <c r="G927" s="2"/>
    </row>
    <row r="928">
      <c r="A928" s="1"/>
      <c r="B928" s="1"/>
      <c r="E928" s="1"/>
      <c r="F928" s="2"/>
      <c r="G928" s="2"/>
    </row>
    <row r="929">
      <c r="A929" s="1"/>
      <c r="B929" s="1"/>
      <c r="E929" s="1"/>
      <c r="F929" s="2"/>
      <c r="G929" s="2"/>
    </row>
    <row r="930">
      <c r="A930" s="1"/>
      <c r="B930" s="1"/>
      <c r="E930" s="1"/>
      <c r="F930" s="2"/>
      <c r="G930" s="2"/>
    </row>
    <row r="931">
      <c r="A931" s="1"/>
      <c r="B931" s="1"/>
      <c r="E931" s="1"/>
      <c r="F931" s="2"/>
      <c r="G931" s="2"/>
    </row>
    <row r="932">
      <c r="A932" s="1"/>
      <c r="B932" s="1"/>
      <c r="E932" s="1"/>
      <c r="F932" s="2"/>
      <c r="G932" s="2"/>
    </row>
    <row r="933">
      <c r="A933" s="1"/>
      <c r="B933" s="1"/>
      <c r="E933" s="1"/>
      <c r="F933" s="2"/>
      <c r="G933" s="2"/>
    </row>
    <row r="934">
      <c r="A934" s="1"/>
      <c r="B934" s="1"/>
      <c r="E934" s="1"/>
      <c r="F934" s="2"/>
      <c r="G934" s="2"/>
    </row>
    <row r="935">
      <c r="A935" s="1"/>
      <c r="B935" s="1"/>
      <c r="E935" s="1"/>
      <c r="F935" s="2"/>
      <c r="G935" s="2"/>
    </row>
    <row r="936">
      <c r="A936" s="1"/>
      <c r="B936" s="1"/>
      <c r="E936" s="1"/>
      <c r="F936" s="2"/>
      <c r="G936" s="2"/>
    </row>
    <row r="937">
      <c r="A937" s="1"/>
      <c r="B937" s="1"/>
      <c r="E937" s="1"/>
      <c r="F937" s="2"/>
      <c r="G937" s="2"/>
    </row>
    <row r="938">
      <c r="A938" s="1"/>
      <c r="B938" s="1"/>
      <c r="E938" s="1"/>
      <c r="F938" s="2"/>
      <c r="G938" s="2"/>
    </row>
    <row r="939">
      <c r="A939" s="1"/>
      <c r="B939" s="1"/>
      <c r="E939" s="1"/>
      <c r="F939" s="2"/>
      <c r="G939" s="2"/>
    </row>
    <row r="940">
      <c r="A940" s="1"/>
      <c r="B940" s="1"/>
      <c r="E940" s="1"/>
      <c r="F940" s="2"/>
      <c r="G940" s="2"/>
    </row>
    <row r="941">
      <c r="A941" s="1"/>
      <c r="B941" s="1"/>
      <c r="E941" s="1"/>
      <c r="F941" s="2"/>
      <c r="G941" s="2"/>
    </row>
    <row r="942">
      <c r="A942" s="1"/>
      <c r="B942" s="1"/>
      <c r="E942" s="1"/>
      <c r="F942" s="2"/>
      <c r="G942" s="2"/>
    </row>
    <row r="943">
      <c r="A943" s="1"/>
      <c r="B943" s="1"/>
      <c r="E943" s="1"/>
      <c r="F943" s="2"/>
      <c r="G943" s="2"/>
    </row>
    <row r="944">
      <c r="A944" s="1"/>
      <c r="B944" s="1"/>
      <c r="E944" s="1"/>
      <c r="F944" s="2"/>
      <c r="G944" s="2"/>
    </row>
    <row r="945">
      <c r="A945" s="1"/>
      <c r="B945" s="1"/>
      <c r="E945" s="1"/>
      <c r="F945" s="2"/>
      <c r="G945" s="2"/>
    </row>
    <row r="946">
      <c r="A946" s="1"/>
      <c r="B946" s="1"/>
      <c r="E946" s="1"/>
      <c r="F946" s="2"/>
      <c r="G946" s="2"/>
    </row>
    <row r="947">
      <c r="A947" s="1"/>
      <c r="B947" s="1"/>
      <c r="E947" s="1"/>
      <c r="F947" s="2"/>
      <c r="G947" s="2"/>
    </row>
    <row r="948">
      <c r="A948" s="1"/>
      <c r="B948" s="1"/>
      <c r="E948" s="1"/>
      <c r="F948" s="2"/>
      <c r="G948" s="2"/>
    </row>
    <row r="949">
      <c r="A949" s="1"/>
      <c r="B949" s="1"/>
      <c r="E949" s="1"/>
      <c r="F949" s="2"/>
      <c r="G949" s="2"/>
    </row>
    <row r="950">
      <c r="A950" s="1"/>
      <c r="B950" s="1"/>
      <c r="E950" s="1"/>
      <c r="F950" s="2"/>
      <c r="G950" s="2"/>
    </row>
    <row r="951">
      <c r="A951" s="1"/>
      <c r="B951" s="1"/>
      <c r="E951" s="1"/>
      <c r="F951" s="2"/>
      <c r="G951" s="2"/>
    </row>
    <row r="952">
      <c r="A952" s="1"/>
      <c r="B952" s="1"/>
      <c r="E952" s="1"/>
      <c r="F952" s="2"/>
      <c r="G952" s="2"/>
    </row>
    <row r="953">
      <c r="A953" s="1"/>
      <c r="B953" s="1"/>
      <c r="E953" s="1"/>
      <c r="F953" s="2"/>
      <c r="G953" s="2"/>
    </row>
    <row r="954">
      <c r="A954" s="1"/>
      <c r="B954" s="1"/>
      <c r="E954" s="1"/>
      <c r="F954" s="2"/>
      <c r="G954" s="2"/>
    </row>
    <row r="955">
      <c r="A955" s="1"/>
      <c r="B955" s="1"/>
      <c r="E955" s="1"/>
      <c r="F955" s="2"/>
      <c r="G955" s="2"/>
    </row>
    <row r="956">
      <c r="A956" s="1"/>
      <c r="B956" s="1"/>
      <c r="E956" s="1"/>
      <c r="F956" s="2"/>
      <c r="G956" s="2"/>
    </row>
    <row r="957">
      <c r="A957" s="1"/>
      <c r="B957" s="1"/>
      <c r="E957" s="1"/>
      <c r="F957" s="2"/>
      <c r="G957" s="2"/>
    </row>
    <row r="958">
      <c r="A958" s="1"/>
      <c r="B958" s="1"/>
      <c r="E958" s="1"/>
      <c r="F958" s="2"/>
      <c r="G958" s="2"/>
    </row>
    <row r="959">
      <c r="A959" s="1"/>
      <c r="B959" s="1"/>
      <c r="E959" s="1"/>
      <c r="F959" s="2"/>
      <c r="G959" s="2"/>
    </row>
    <row r="960">
      <c r="A960" s="1"/>
      <c r="B960" s="1"/>
      <c r="E960" s="1"/>
      <c r="F960" s="2"/>
      <c r="G960" s="2"/>
    </row>
    <row r="961">
      <c r="A961" s="1"/>
      <c r="B961" s="1"/>
      <c r="E961" s="1"/>
      <c r="F961" s="2"/>
      <c r="G961" s="2"/>
    </row>
    <row r="962">
      <c r="A962" s="1"/>
      <c r="B962" s="1"/>
      <c r="E962" s="1"/>
      <c r="F962" s="2"/>
      <c r="G962" s="2"/>
    </row>
    <row r="963">
      <c r="A963" s="1"/>
      <c r="B963" s="1"/>
      <c r="E963" s="1"/>
      <c r="F963" s="2"/>
      <c r="G963" s="2"/>
    </row>
    <row r="964">
      <c r="A964" s="1"/>
      <c r="B964" s="1"/>
      <c r="E964" s="1"/>
      <c r="F964" s="2"/>
      <c r="G964" s="2"/>
    </row>
    <row r="965">
      <c r="A965" s="1"/>
      <c r="B965" s="1"/>
      <c r="E965" s="1"/>
      <c r="F965" s="2"/>
      <c r="G965" s="2"/>
    </row>
    <row r="966">
      <c r="A966" s="1"/>
      <c r="B966" s="1"/>
      <c r="E966" s="1"/>
      <c r="F966" s="2"/>
      <c r="G966" s="2"/>
    </row>
    <row r="967">
      <c r="A967" s="1"/>
      <c r="B967" s="1"/>
      <c r="E967" s="1"/>
      <c r="F967" s="2"/>
      <c r="G967" s="2"/>
    </row>
    <row r="968">
      <c r="A968" s="1"/>
      <c r="B968" s="1"/>
      <c r="E968" s="1"/>
      <c r="F968" s="2"/>
      <c r="G968" s="2"/>
    </row>
    <row r="969">
      <c r="A969" s="1"/>
      <c r="B969" s="1"/>
      <c r="E969" s="1"/>
      <c r="F969" s="2"/>
      <c r="G969" s="2"/>
    </row>
    <row r="970">
      <c r="A970" s="1"/>
      <c r="B970" s="1"/>
      <c r="E970" s="1"/>
      <c r="F970" s="2"/>
      <c r="G970" s="2"/>
    </row>
    <row r="971">
      <c r="A971" s="1"/>
      <c r="B971" s="1"/>
      <c r="E971" s="1"/>
      <c r="F971" s="2"/>
      <c r="G971" s="2"/>
    </row>
    <row r="972">
      <c r="A972" s="1"/>
      <c r="B972" s="1"/>
      <c r="E972" s="1"/>
      <c r="F972" s="2"/>
      <c r="G972" s="2"/>
    </row>
    <row r="973">
      <c r="A973" s="1"/>
      <c r="B973" s="1"/>
      <c r="E973" s="1"/>
      <c r="F973" s="2"/>
      <c r="G973" s="2"/>
    </row>
    <row r="974">
      <c r="A974" s="1"/>
      <c r="B974" s="1"/>
      <c r="E974" s="1"/>
      <c r="F974" s="2"/>
      <c r="G974" s="2"/>
    </row>
    <row r="975">
      <c r="A975" s="1"/>
      <c r="B975" s="1"/>
      <c r="E975" s="1"/>
      <c r="F975" s="2"/>
      <c r="G975" s="2"/>
    </row>
    <row r="976">
      <c r="A976" s="1"/>
      <c r="B976" s="1"/>
      <c r="E976" s="1"/>
      <c r="F976" s="2"/>
      <c r="G976" s="2"/>
    </row>
    <row r="977">
      <c r="A977" s="1"/>
      <c r="B977" s="1"/>
      <c r="E977" s="1"/>
      <c r="F977" s="2"/>
      <c r="G977" s="2"/>
    </row>
    <row r="978">
      <c r="A978" s="1"/>
      <c r="B978" s="1"/>
      <c r="E978" s="1"/>
      <c r="F978" s="2"/>
      <c r="G978" s="2"/>
    </row>
    <row r="979">
      <c r="A979" s="1"/>
      <c r="B979" s="1"/>
      <c r="E979" s="1"/>
      <c r="F979" s="2"/>
      <c r="G979" s="2"/>
    </row>
    <row r="980">
      <c r="A980" s="1"/>
      <c r="B980" s="1"/>
      <c r="E980" s="1"/>
      <c r="F980" s="2"/>
      <c r="G980" s="2"/>
    </row>
    <row r="981">
      <c r="A981" s="1"/>
      <c r="B981" s="1"/>
      <c r="E981" s="1"/>
      <c r="F981" s="2"/>
      <c r="G981" s="2"/>
    </row>
    <row r="982">
      <c r="A982" s="1"/>
      <c r="B982" s="1"/>
      <c r="E982" s="1"/>
      <c r="F982" s="2"/>
      <c r="G982" s="2"/>
    </row>
    <row r="983">
      <c r="A983" s="1"/>
      <c r="B983" s="1"/>
      <c r="E983" s="1"/>
      <c r="F983" s="2"/>
      <c r="G983" s="2"/>
    </row>
    <row r="984">
      <c r="A984" s="1"/>
      <c r="B984" s="1"/>
      <c r="E984" s="1"/>
      <c r="F984" s="2"/>
      <c r="G984" s="2"/>
    </row>
    <row r="985">
      <c r="A985" s="1"/>
      <c r="B985" s="1"/>
      <c r="E985" s="1"/>
      <c r="F985" s="2"/>
      <c r="G985" s="2"/>
    </row>
    <row r="986">
      <c r="A986" s="1"/>
      <c r="B986" s="1"/>
      <c r="E986" s="1"/>
      <c r="F986" s="2"/>
      <c r="G986" s="2"/>
    </row>
    <row r="987">
      <c r="A987" s="1"/>
      <c r="B987" s="1"/>
      <c r="E987" s="1"/>
      <c r="F987" s="2"/>
      <c r="G987" s="2"/>
    </row>
    <row r="988">
      <c r="A988" s="1"/>
      <c r="B988" s="1"/>
      <c r="E988" s="1"/>
      <c r="F988" s="2"/>
      <c r="G988" s="2"/>
    </row>
    <row r="989">
      <c r="A989" s="1"/>
      <c r="B989" s="1"/>
      <c r="E989" s="1"/>
      <c r="F989" s="2"/>
      <c r="G989" s="2"/>
    </row>
    <row r="990">
      <c r="A990" s="1"/>
      <c r="B990" s="1"/>
      <c r="E990" s="1"/>
      <c r="F990" s="2"/>
      <c r="G990" s="2"/>
    </row>
    <row r="991">
      <c r="A991" s="1"/>
      <c r="B991" s="1"/>
      <c r="E991" s="1"/>
      <c r="F991" s="2"/>
      <c r="G991" s="2"/>
    </row>
    <row r="992">
      <c r="A992" s="1"/>
      <c r="B992" s="1"/>
      <c r="E992" s="1"/>
      <c r="F992" s="2"/>
      <c r="G992" s="2"/>
    </row>
    <row r="993">
      <c r="A993" s="1"/>
      <c r="B993" s="1"/>
      <c r="E993" s="1"/>
      <c r="F993" s="2"/>
      <c r="G993" s="2"/>
    </row>
    <row r="994">
      <c r="A994" s="1"/>
      <c r="B994" s="1"/>
      <c r="E994" s="1"/>
      <c r="F994" s="2"/>
      <c r="G994" s="2"/>
    </row>
    <row r="995">
      <c r="A995" s="1"/>
      <c r="B995" s="1"/>
      <c r="E995" s="1"/>
      <c r="F995" s="2"/>
      <c r="G995" s="2"/>
    </row>
    <row r="996">
      <c r="A996" s="1"/>
      <c r="B996" s="1"/>
      <c r="E996" s="1"/>
      <c r="F996" s="2"/>
      <c r="G996" s="2"/>
    </row>
    <row r="997">
      <c r="A997" s="1"/>
      <c r="B997" s="1"/>
      <c r="E997" s="1"/>
      <c r="F997" s="2"/>
      <c r="G997" s="2"/>
    </row>
    <row r="998">
      <c r="A998" s="1"/>
      <c r="B998" s="1"/>
      <c r="E998" s="1"/>
      <c r="F998" s="2"/>
      <c r="G998" s="2"/>
    </row>
    <row r="999">
      <c r="A999" s="1"/>
      <c r="B999" s="1"/>
      <c r="E999" s="1"/>
      <c r="F999" s="2"/>
      <c r="G999" s="2"/>
    </row>
    <row r="1000">
      <c r="A1000" s="1"/>
      <c r="B1000" s="1"/>
      <c r="E1000" s="1"/>
      <c r="F1000" s="2"/>
      <c r="G1000" s="2"/>
    </row>
    <row r="1001">
      <c r="A1001" s="1"/>
      <c r="B1001" s="1"/>
      <c r="E1001" s="1"/>
      <c r="F1001" s="2"/>
      <c r="G1001" s="2"/>
    </row>
    <row r="1002">
      <c r="A1002" s="1"/>
      <c r="B1002" s="1"/>
      <c r="E1002" s="1"/>
      <c r="F1002" s="2"/>
      <c r="G1002" s="2"/>
    </row>
    <row r="1003">
      <c r="A1003" s="1"/>
      <c r="B1003" s="1"/>
      <c r="E1003" s="1"/>
      <c r="F1003" s="2"/>
      <c r="G1003" s="2"/>
    </row>
    <row r="1004">
      <c r="A1004" s="1"/>
      <c r="B1004" s="1"/>
      <c r="E1004" s="1"/>
      <c r="F1004" s="2"/>
      <c r="G1004" s="2"/>
    </row>
    <row r="1005">
      <c r="A1005" s="1"/>
      <c r="B1005" s="1"/>
      <c r="E1005" s="1"/>
      <c r="F1005" s="2"/>
      <c r="G1005" s="2"/>
    </row>
    <row r="1006">
      <c r="A1006" s="1"/>
      <c r="B1006" s="1"/>
      <c r="E1006" s="1"/>
      <c r="F1006" s="2"/>
      <c r="G1006" s="2"/>
    </row>
    <row r="1007">
      <c r="A1007" s="1"/>
      <c r="B1007" s="1"/>
      <c r="E1007" s="1"/>
      <c r="F1007" s="2"/>
      <c r="G1007" s="2"/>
    </row>
    <row r="1008">
      <c r="A1008" s="1"/>
      <c r="B1008" s="1"/>
      <c r="E1008" s="1"/>
      <c r="F1008" s="2"/>
      <c r="G1008" s="2"/>
    </row>
    <row r="1009">
      <c r="A1009" s="1"/>
      <c r="B1009" s="1"/>
      <c r="E1009" s="1"/>
      <c r="F1009" s="2"/>
      <c r="G1009" s="2"/>
    </row>
    <row r="1010">
      <c r="A1010" s="1"/>
      <c r="B1010" s="1"/>
      <c r="E1010" s="1"/>
      <c r="F1010" s="2"/>
      <c r="G1010" s="2"/>
    </row>
    <row r="1011">
      <c r="A1011" s="1"/>
      <c r="B1011" s="1"/>
      <c r="E1011" s="1"/>
      <c r="F1011" s="2"/>
      <c r="G1011" s="2"/>
    </row>
    <row r="1012">
      <c r="A1012" s="1"/>
      <c r="B1012" s="1"/>
      <c r="E1012" s="1"/>
      <c r="F1012" s="2"/>
      <c r="G1012" s="2"/>
    </row>
    <row r="1013">
      <c r="A1013" s="1"/>
      <c r="B1013" s="1"/>
      <c r="E1013" s="1"/>
      <c r="F1013" s="2"/>
      <c r="G1013" s="2"/>
    </row>
    <row r="1014">
      <c r="A1014" s="1"/>
      <c r="B1014" s="1"/>
      <c r="E1014" s="1"/>
      <c r="F1014" s="2"/>
      <c r="G1014" s="2"/>
    </row>
    <row r="1015">
      <c r="A1015" s="1"/>
      <c r="B1015" s="1"/>
      <c r="E1015" s="1"/>
      <c r="F1015" s="2"/>
      <c r="G1015" s="2"/>
    </row>
    <row r="1016">
      <c r="A1016" s="1"/>
      <c r="B1016" s="1"/>
      <c r="E1016" s="1"/>
      <c r="F1016" s="2"/>
      <c r="G1016" s="2"/>
    </row>
    <row r="1017">
      <c r="A1017" s="1"/>
      <c r="B1017" s="1"/>
      <c r="E1017" s="1"/>
      <c r="F1017" s="2"/>
      <c r="G1017" s="2"/>
    </row>
    <row r="1018">
      <c r="A1018" s="1"/>
      <c r="B1018" s="1"/>
      <c r="E1018" s="1"/>
      <c r="F1018" s="2"/>
      <c r="G1018" s="2"/>
    </row>
    <row r="1019">
      <c r="A1019" s="1"/>
      <c r="B1019" s="1"/>
      <c r="E1019" s="1"/>
      <c r="F1019" s="2"/>
      <c r="G1019" s="2"/>
    </row>
    <row r="1020">
      <c r="A1020" s="1"/>
      <c r="B1020" s="1"/>
      <c r="E1020" s="1"/>
      <c r="F1020" s="2"/>
      <c r="G1020" s="2"/>
    </row>
    <row r="1021">
      <c r="A1021" s="1"/>
      <c r="B1021" s="1"/>
      <c r="E1021" s="1"/>
      <c r="F1021" s="2"/>
      <c r="G1021" s="2"/>
    </row>
    <row r="1022">
      <c r="A1022" s="1"/>
      <c r="B1022" s="1"/>
      <c r="E1022" s="1"/>
      <c r="F1022" s="2"/>
      <c r="G1022" s="2"/>
    </row>
    <row r="1023">
      <c r="A1023" s="1"/>
      <c r="B1023" s="1"/>
      <c r="E1023" s="1"/>
      <c r="F1023" s="2"/>
      <c r="G1023" s="2"/>
    </row>
    <row r="1024">
      <c r="A1024" s="1"/>
      <c r="B1024" s="1"/>
      <c r="E1024" s="1"/>
      <c r="F1024" s="2"/>
      <c r="G1024" s="2"/>
    </row>
    <row r="1025">
      <c r="A1025" s="1"/>
      <c r="B1025" s="1"/>
      <c r="E1025" s="1"/>
      <c r="F1025" s="2"/>
      <c r="G1025" s="2"/>
    </row>
    <row r="1026">
      <c r="A1026" s="1"/>
      <c r="B1026" s="1"/>
      <c r="E1026" s="1"/>
      <c r="F1026" s="2"/>
      <c r="G1026" s="2"/>
    </row>
    <row r="1027">
      <c r="A1027" s="1"/>
      <c r="B1027" s="1"/>
      <c r="E1027" s="1"/>
      <c r="F1027" s="2"/>
      <c r="G1027" s="2"/>
    </row>
    <row r="1028">
      <c r="A1028" s="1"/>
      <c r="B1028" s="1"/>
      <c r="E1028" s="1"/>
      <c r="F1028" s="2"/>
      <c r="G1028" s="2"/>
    </row>
    <row r="1029">
      <c r="A1029" s="1"/>
      <c r="B1029" s="1"/>
      <c r="E1029" s="1"/>
      <c r="F1029" s="2"/>
      <c r="G1029" s="2"/>
    </row>
    <row r="1030">
      <c r="A1030" s="1"/>
      <c r="B1030" s="1"/>
      <c r="E1030" s="1"/>
      <c r="F1030" s="2"/>
      <c r="G1030" s="2"/>
    </row>
    <row r="1031">
      <c r="A1031" s="1"/>
      <c r="B1031" s="1"/>
      <c r="E1031" s="1"/>
      <c r="F1031" s="2"/>
      <c r="G1031" s="2"/>
    </row>
    <row r="1032">
      <c r="A1032" s="1"/>
      <c r="B1032" s="1"/>
      <c r="E1032" s="1"/>
      <c r="F1032" s="2"/>
      <c r="G1032" s="2"/>
    </row>
    <row r="1033">
      <c r="A1033" s="1"/>
      <c r="B1033" s="1"/>
      <c r="E1033" s="1"/>
      <c r="F1033" s="2"/>
      <c r="G1033" s="2"/>
    </row>
    <row r="1034">
      <c r="A1034" s="1"/>
      <c r="B1034" s="1"/>
      <c r="E1034" s="1"/>
      <c r="F1034" s="2"/>
      <c r="G1034" s="2"/>
    </row>
    <row r="1035">
      <c r="A1035" s="1"/>
      <c r="B1035" s="1"/>
      <c r="E1035" s="1"/>
      <c r="F1035" s="2"/>
      <c r="G1035" s="2"/>
    </row>
    <row r="1036">
      <c r="A1036" s="1"/>
      <c r="B1036" s="1"/>
      <c r="E1036" s="1"/>
      <c r="F1036" s="2"/>
      <c r="G1036" s="2"/>
    </row>
    <row r="1037">
      <c r="A1037" s="1"/>
      <c r="B1037" s="1"/>
      <c r="E1037" s="1"/>
      <c r="F1037" s="2"/>
      <c r="G1037" s="2"/>
    </row>
    <row r="1038">
      <c r="A1038" s="1"/>
      <c r="B1038" s="1"/>
      <c r="E1038" s="1"/>
      <c r="F1038" s="2"/>
      <c r="G1038" s="2"/>
    </row>
    <row r="1039">
      <c r="A1039" s="1"/>
      <c r="B1039" s="1"/>
      <c r="E1039" s="1"/>
      <c r="F1039" s="2"/>
      <c r="G1039" s="2"/>
    </row>
    <row r="1040">
      <c r="A1040" s="1"/>
      <c r="B1040" s="1"/>
      <c r="E1040" s="1"/>
      <c r="F1040" s="2"/>
      <c r="G1040" s="2"/>
    </row>
    <row r="1041">
      <c r="A1041" s="1"/>
      <c r="B1041" s="1"/>
      <c r="E1041" s="1"/>
      <c r="F1041" s="2"/>
      <c r="G1041" s="2"/>
    </row>
    <row r="1042">
      <c r="A1042" s="1"/>
      <c r="B1042" s="1"/>
      <c r="E1042" s="1"/>
      <c r="F1042" s="2"/>
      <c r="G1042" s="2"/>
    </row>
    <row r="1043">
      <c r="A1043" s="1"/>
      <c r="B1043" s="1"/>
      <c r="E1043" s="1"/>
      <c r="F1043" s="2"/>
      <c r="G1043" s="2"/>
    </row>
    <row r="1044">
      <c r="A1044" s="1"/>
      <c r="B1044" s="1"/>
      <c r="E1044" s="1"/>
      <c r="F1044" s="2"/>
      <c r="G1044" s="2"/>
    </row>
    <row r="1045">
      <c r="A1045" s="1"/>
      <c r="B1045" s="1"/>
      <c r="E1045" s="1"/>
      <c r="F1045" s="2"/>
      <c r="G1045" s="2"/>
    </row>
    <row r="1046">
      <c r="A1046" s="1"/>
      <c r="B1046" s="1"/>
      <c r="E1046" s="1"/>
      <c r="F1046" s="2"/>
      <c r="G1046" s="2"/>
    </row>
    <row r="1047">
      <c r="A1047" s="1"/>
      <c r="B1047" s="1"/>
      <c r="E1047" s="1"/>
      <c r="F1047" s="2"/>
      <c r="G1047" s="2"/>
    </row>
    <row r="1048">
      <c r="A1048" s="1"/>
      <c r="B1048" s="1"/>
      <c r="E1048" s="1"/>
      <c r="F1048" s="2"/>
      <c r="G1048" s="2"/>
    </row>
    <row r="1049">
      <c r="A1049" s="1"/>
      <c r="B1049" s="1"/>
      <c r="E1049" s="1"/>
      <c r="F1049" s="2"/>
      <c r="G1049" s="2"/>
    </row>
    <row r="1050">
      <c r="A1050" s="1"/>
      <c r="B1050" s="1"/>
      <c r="E1050" s="1"/>
      <c r="F1050" s="2"/>
      <c r="G1050" s="2"/>
    </row>
    <row r="1051">
      <c r="A1051" s="1"/>
      <c r="B1051" s="1"/>
      <c r="E1051" s="1"/>
      <c r="F1051" s="2"/>
      <c r="G1051" s="2"/>
    </row>
    <row r="1052">
      <c r="A1052" s="1"/>
      <c r="B1052" s="1"/>
      <c r="E1052" s="1"/>
      <c r="F1052" s="2"/>
      <c r="G1052" s="2"/>
    </row>
    <row r="1053">
      <c r="A1053" s="1"/>
      <c r="B1053" s="1"/>
      <c r="E1053" s="1"/>
      <c r="F1053" s="2"/>
      <c r="G1053" s="2"/>
    </row>
    <row r="1054">
      <c r="A1054" s="1"/>
      <c r="B1054" s="1"/>
      <c r="E1054" s="1"/>
      <c r="F1054" s="2"/>
      <c r="G1054" s="2"/>
    </row>
    <row r="1055">
      <c r="A1055" s="1"/>
      <c r="B1055" s="1"/>
      <c r="E1055" s="1"/>
      <c r="F1055" s="2"/>
      <c r="G1055" s="2"/>
    </row>
    <row r="1056">
      <c r="A1056" s="1"/>
      <c r="B1056" s="1"/>
      <c r="E1056" s="1"/>
      <c r="F1056" s="2"/>
      <c r="G1056" s="2"/>
    </row>
    <row r="1057">
      <c r="A1057" s="1"/>
      <c r="B1057" s="1"/>
      <c r="E1057" s="1"/>
      <c r="F1057" s="2"/>
      <c r="G1057" s="2"/>
    </row>
    <row r="1058">
      <c r="A1058" s="1"/>
      <c r="B1058" s="1"/>
      <c r="E1058" s="1"/>
      <c r="F1058" s="2"/>
      <c r="G1058" s="2"/>
    </row>
    <row r="1059">
      <c r="A1059" s="1"/>
      <c r="B1059" s="1"/>
      <c r="E1059" s="1"/>
      <c r="F1059" s="2"/>
      <c r="G1059" s="2"/>
    </row>
    <row r="1060">
      <c r="A1060" s="1"/>
      <c r="B1060" s="1"/>
      <c r="E1060" s="1"/>
      <c r="F1060" s="2"/>
      <c r="G1060" s="2"/>
    </row>
    <row r="1061">
      <c r="A1061" s="1"/>
      <c r="B1061" s="1"/>
      <c r="E1061" s="1"/>
      <c r="F1061" s="2"/>
      <c r="G1061" s="2"/>
    </row>
    <row r="1062">
      <c r="A1062" s="1"/>
      <c r="B1062" s="1"/>
      <c r="E1062" s="1"/>
      <c r="F1062" s="2"/>
      <c r="G1062" s="2"/>
    </row>
    <row r="1063">
      <c r="A1063" s="1"/>
      <c r="B1063" s="1"/>
      <c r="E1063" s="1"/>
      <c r="F1063" s="2"/>
      <c r="G1063" s="2"/>
    </row>
    <row r="1064">
      <c r="A1064" s="1"/>
      <c r="B1064" s="1"/>
      <c r="E1064" s="1"/>
      <c r="F1064" s="2"/>
      <c r="G1064" s="2"/>
    </row>
    <row r="1065">
      <c r="A1065" s="1"/>
      <c r="B1065" s="1"/>
      <c r="E1065" s="1"/>
      <c r="F1065" s="2"/>
      <c r="G1065" s="2"/>
    </row>
    <row r="1066">
      <c r="A1066" s="1"/>
      <c r="B1066" s="1"/>
      <c r="E1066" s="1"/>
      <c r="F1066" s="2"/>
      <c r="G1066" s="2"/>
    </row>
    <row r="1067">
      <c r="A1067" s="1"/>
      <c r="B1067" s="1"/>
      <c r="E1067" s="1"/>
      <c r="F1067" s="2"/>
      <c r="G1067" s="2"/>
    </row>
    <row r="1068">
      <c r="A1068" s="1"/>
      <c r="B1068" s="1"/>
      <c r="E1068" s="1"/>
      <c r="F1068" s="2"/>
      <c r="G1068" s="2"/>
    </row>
    <row r="1069">
      <c r="A1069" s="1"/>
      <c r="B1069" s="1"/>
      <c r="E1069" s="1"/>
      <c r="F1069" s="2"/>
      <c r="G1069" s="2"/>
    </row>
    <row r="1070">
      <c r="A1070" s="1"/>
      <c r="B1070" s="1"/>
      <c r="E1070" s="1"/>
      <c r="F1070" s="2"/>
      <c r="G1070" s="2"/>
    </row>
    <row r="1071">
      <c r="A1071" s="1"/>
      <c r="B1071" s="1"/>
      <c r="E1071" s="1"/>
      <c r="F1071" s="2"/>
      <c r="G1071" s="2"/>
    </row>
    <row r="1072">
      <c r="A1072" s="1"/>
      <c r="B1072" s="1"/>
      <c r="E1072" s="1"/>
      <c r="F1072" s="2"/>
      <c r="G1072" s="2"/>
    </row>
    <row r="1073">
      <c r="A1073" s="1"/>
      <c r="B1073" s="1"/>
      <c r="E1073" s="1"/>
      <c r="F1073" s="2"/>
      <c r="G1073" s="2"/>
    </row>
    <row r="1074">
      <c r="A1074" s="1"/>
      <c r="B1074" s="1"/>
      <c r="E1074" s="1"/>
      <c r="F1074" s="2"/>
      <c r="G1074" s="2"/>
    </row>
    <row r="1075">
      <c r="A1075" s="1"/>
      <c r="B1075" s="1"/>
      <c r="E1075" s="1"/>
      <c r="F1075" s="2"/>
      <c r="G1075" s="2"/>
    </row>
    <row r="1076">
      <c r="A1076" s="1"/>
      <c r="B1076" s="1"/>
      <c r="E1076" s="1"/>
      <c r="F1076" s="2"/>
      <c r="G1076" s="2"/>
    </row>
    <row r="1077">
      <c r="A1077" s="1"/>
      <c r="B1077" s="1"/>
      <c r="E1077" s="1"/>
      <c r="F1077" s="2"/>
      <c r="G1077" s="2"/>
    </row>
    <row r="1078">
      <c r="A1078" s="1"/>
      <c r="B1078" s="1"/>
      <c r="E1078" s="1"/>
      <c r="F1078" s="2"/>
      <c r="G1078" s="2"/>
    </row>
    <row r="1079">
      <c r="A1079" s="1"/>
      <c r="B1079" s="1"/>
      <c r="E1079" s="1"/>
      <c r="F1079" s="2"/>
      <c r="G1079" s="2"/>
    </row>
    <row r="1080">
      <c r="A1080" s="1"/>
      <c r="B1080" s="1"/>
      <c r="E1080" s="1"/>
      <c r="F1080" s="2"/>
      <c r="G1080" s="2"/>
    </row>
    <row r="1081">
      <c r="A1081" s="1"/>
      <c r="B1081" s="1"/>
      <c r="E1081" s="1"/>
      <c r="F1081" s="2"/>
      <c r="G1081" s="2"/>
    </row>
    <row r="1082">
      <c r="A1082" s="1"/>
      <c r="B1082" s="1"/>
      <c r="E1082" s="1"/>
      <c r="F1082" s="2"/>
      <c r="G1082" s="2"/>
    </row>
    <row r="1083">
      <c r="A1083" s="1"/>
      <c r="B1083" s="1"/>
      <c r="E1083" s="1"/>
      <c r="F1083" s="2"/>
      <c r="G1083" s="2"/>
    </row>
    <row r="1084">
      <c r="A1084" s="1"/>
      <c r="B1084" s="1"/>
      <c r="E1084" s="1"/>
      <c r="F1084" s="2"/>
      <c r="G1084" s="2"/>
    </row>
    <row r="1085">
      <c r="A1085" s="1"/>
      <c r="B1085" s="1"/>
      <c r="E1085" s="1"/>
      <c r="F1085" s="2"/>
      <c r="G1085" s="2"/>
    </row>
    <row r="1086">
      <c r="A1086" s="1"/>
      <c r="B1086" s="1"/>
      <c r="E1086" s="1"/>
      <c r="F1086" s="2"/>
      <c r="G1086" s="2"/>
    </row>
    <row r="1087">
      <c r="A1087" s="1"/>
      <c r="B1087" s="1"/>
      <c r="E1087" s="1"/>
      <c r="F1087" s="2"/>
      <c r="G1087" s="2"/>
    </row>
    <row r="1088">
      <c r="A1088" s="1"/>
      <c r="B1088" s="1"/>
      <c r="E1088" s="1"/>
      <c r="F1088" s="2"/>
      <c r="G1088" s="2"/>
    </row>
    <row r="1089">
      <c r="A1089" s="1"/>
      <c r="B1089" s="1"/>
      <c r="E1089" s="1"/>
      <c r="F1089" s="2"/>
      <c r="G1089" s="2"/>
    </row>
    <row r="1090">
      <c r="A1090" s="1"/>
      <c r="B1090" s="1"/>
      <c r="E1090" s="1"/>
      <c r="F1090" s="2"/>
      <c r="G1090" s="2"/>
    </row>
    <row r="1091">
      <c r="A1091" s="1"/>
      <c r="B1091" s="1"/>
      <c r="E1091" s="1"/>
      <c r="F1091" s="2"/>
      <c r="G1091" s="2"/>
    </row>
    <row r="1092">
      <c r="A1092" s="1"/>
      <c r="B1092" s="1"/>
      <c r="E1092" s="1"/>
      <c r="F1092" s="2"/>
      <c r="G1092" s="2"/>
    </row>
    <row r="1093">
      <c r="A1093" s="1"/>
      <c r="B1093" s="1"/>
      <c r="E1093" s="1"/>
      <c r="F1093" s="2"/>
      <c r="G1093" s="2"/>
    </row>
    <row r="1094">
      <c r="A1094" s="1"/>
      <c r="B1094" s="1"/>
      <c r="E1094" s="1"/>
      <c r="F1094" s="2"/>
      <c r="G1094" s="2"/>
    </row>
    <row r="1095">
      <c r="A1095" s="1"/>
      <c r="B1095" s="1"/>
      <c r="E1095" s="1"/>
      <c r="F1095" s="2"/>
      <c r="G1095" s="2"/>
    </row>
    <row r="1096">
      <c r="A1096" s="1"/>
      <c r="B1096" s="1"/>
      <c r="E1096" s="1"/>
      <c r="F1096" s="2"/>
      <c r="G1096" s="2"/>
    </row>
    <row r="1097">
      <c r="A1097" s="1"/>
      <c r="B1097" s="1"/>
      <c r="E1097" s="1"/>
      <c r="F1097" s="2"/>
      <c r="G1097" s="2"/>
    </row>
    <row r="1098">
      <c r="A1098" s="1"/>
      <c r="B1098" s="1"/>
      <c r="E1098" s="1"/>
      <c r="F1098" s="2"/>
      <c r="G1098" s="2"/>
    </row>
  </sheetData>
  <autoFilter ref="$A$1:$G$109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22.13"/>
    <col customWidth="1" min="4" max="4" width="17.25"/>
  </cols>
  <sheetData>
    <row r="1">
      <c r="B1" s="4"/>
      <c r="D1" s="1" t="s">
        <v>508</v>
      </c>
    </row>
    <row r="2">
      <c r="A2" s="1" t="s">
        <v>509</v>
      </c>
      <c r="B2" s="5" t="s">
        <v>510</v>
      </c>
      <c r="C2" s="1" t="s">
        <v>511</v>
      </c>
      <c r="D2" s="1" t="s">
        <v>512</v>
      </c>
    </row>
    <row r="3">
      <c r="A3" s="1" t="s">
        <v>513</v>
      </c>
      <c r="B3" s="5">
        <v>45568.37569444445</v>
      </c>
      <c r="C3" s="6">
        <v>45608.334027777775</v>
      </c>
    </row>
    <row r="4">
      <c r="A4" s="1" t="s">
        <v>5</v>
      </c>
      <c r="B4" s="5" t="s">
        <v>514</v>
      </c>
      <c r="C4" s="1" t="s">
        <v>515</v>
      </c>
      <c r="D4" s="1" t="s">
        <v>516</v>
      </c>
      <c r="F4" s="3">
        <f>IFERROR(__xludf.DUMMYFUNCTION("INT((DATE(INDEX(SPLIT(B4,""/| |:""),3), INDEX(SPLIT(B4,""/| |:""),2), INDEX(SPLIT(B4,""/| |:""),1)) + TIME(INDEX(SPLIT(B4,""/| |:""),4), INDEX(SPLIT(B4,""/| |:""),5), INDEX(SPLIT(B4,""/| |:""),6)) - DATE(1970,1,1)) * 86400)"),1.710756263E9)</f>
        <v>1710756263</v>
      </c>
      <c r="G4" s="3">
        <f>IFERROR(__xludf.DUMMYFUNCTION("INT((DATE(INDEX(SPLIT(C4,""/| |:""),3), INDEX(SPLIT(C4,""/| |:""),2), INDEX(SPLIT(C4,""/| |:""),1)) + TIME(INDEX(SPLIT(C4,""/| |:""),4), INDEX(SPLIT(C4,""/| |:""),5), INDEX(SPLIT(C4,""/| |:""),6)) - DATE(1970,1,1)) * 86400)"),1.741860263E9)</f>
        <v>1741860263</v>
      </c>
    </row>
    <row r="5">
      <c r="A5" s="1" t="s">
        <v>5</v>
      </c>
      <c r="B5" s="5" t="s">
        <v>517</v>
      </c>
      <c r="C5" s="1" t="s">
        <v>518</v>
      </c>
      <c r="D5" s="1" t="s">
        <v>519</v>
      </c>
      <c r="F5" s="3">
        <f>IFERROR(__xludf.DUMMYFUNCTION("INT((DATE(INDEX(SPLIT(B5,""/| |:""),3), INDEX(SPLIT(B5,""/| |:""),2), INDEX(SPLIT(B5,""/| |:""),1)) + TIME(INDEX(SPLIT(B5,""/| |:""),4), INDEX(SPLIT(B5,""/| |:""),5), INDEX(SPLIT(B5,""/| |:""),6)) - DATE(1970,1,1)) * 86400)"),1.710756288E9)</f>
        <v>1710756288</v>
      </c>
      <c r="G5" s="3">
        <f>IFERROR(__xludf.DUMMYFUNCTION("INT((DATE(INDEX(SPLIT(C5,""/| |:""),3), INDEX(SPLIT(C5,""/| |:""),2), INDEX(SPLIT(C5,""/| |:""),1)) + TIME(INDEX(SPLIT(C5,""/| |:""),4), INDEX(SPLIT(C5,""/| |:""),5), INDEX(SPLIT(C5,""/| |:""),6)) - DATE(1970,1,1)) * 86400)"),1.741860288E9)</f>
        <v>1741860288</v>
      </c>
    </row>
    <row r="6">
      <c r="A6" s="1" t="s">
        <v>5</v>
      </c>
      <c r="B6" s="5" t="s">
        <v>520</v>
      </c>
      <c r="C6" s="1" t="s">
        <v>521</v>
      </c>
      <c r="D6" s="1" t="s">
        <v>522</v>
      </c>
      <c r="F6" s="3">
        <f>IFERROR(__xludf.DUMMYFUNCTION("INT((DATE(INDEX(SPLIT(B6,""/| |:""),3), INDEX(SPLIT(B6,""/| |:""),2), INDEX(SPLIT(B6,""/| |:""),1)) + TIME(INDEX(SPLIT(B6,""/| |:""),4), INDEX(SPLIT(B6,""/| |:""),5), INDEX(SPLIT(B6,""/| |:""),6)) - DATE(1970,1,1)) * 86400)"),1.710756306E9)</f>
        <v>1710756306</v>
      </c>
      <c r="G6" s="3">
        <f>IFERROR(__xludf.DUMMYFUNCTION("INT((DATE(INDEX(SPLIT(C6,""/| |:""),3), INDEX(SPLIT(C6,""/| |:""),2), INDEX(SPLIT(C6,""/| |:""),1)) + TIME(INDEX(SPLIT(C6,""/| |:""),4), INDEX(SPLIT(C6,""/| |:""),5), INDEX(SPLIT(C6,""/| |:""),6)) - DATE(1970,1,1)) * 86400)"),1.741860306E9)</f>
        <v>1741860306</v>
      </c>
    </row>
    <row r="7">
      <c r="A7" s="1" t="s">
        <v>5</v>
      </c>
      <c r="B7" s="5" t="s">
        <v>523</v>
      </c>
      <c r="C7" s="1" t="s">
        <v>524</v>
      </c>
      <c r="D7" s="1" t="s">
        <v>525</v>
      </c>
      <c r="F7" s="3">
        <f>IFERROR(__xludf.DUMMYFUNCTION("INT((DATE(INDEX(SPLIT(B7,""/| |:""),3), INDEX(SPLIT(B7,""/| |:""),2), INDEX(SPLIT(B7,""/| |:""),1)) + TIME(INDEX(SPLIT(B7,""/| |:""),4), INDEX(SPLIT(B7,""/| |:""),5), INDEX(SPLIT(B7,""/| |:""),6)) - DATE(1970,1,1)) * 86400)"),1.710756326E9)</f>
        <v>1710756326</v>
      </c>
      <c r="G7" s="3">
        <f>IFERROR(__xludf.DUMMYFUNCTION("INT((DATE(INDEX(SPLIT(C7,""/| |:""),3), INDEX(SPLIT(C7,""/| |:""),2), INDEX(SPLIT(C7,""/| |:""),1)) + TIME(INDEX(SPLIT(C7,""/| |:""),4), INDEX(SPLIT(C7,""/| |:""),5), INDEX(SPLIT(C7,""/| |:""),6)) - DATE(1970,1,1)) * 86400)"),1.741860326E9)</f>
        <v>1741860326</v>
      </c>
    </row>
    <row r="8">
      <c r="A8" s="1" t="s">
        <v>7</v>
      </c>
      <c r="B8" s="5" t="s">
        <v>526</v>
      </c>
      <c r="C8" s="1" t="s">
        <v>527</v>
      </c>
      <c r="D8" s="1" t="s">
        <v>528</v>
      </c>
      <c r="F8" s="3">
        <f>IFERROR(__xludf.DUMMYFUNCTION("INT((DATE(INDEX(SPLIT(B8,""/| |:""),3), INDEX(SPLIT(B8,""/| |:""),2), INDEX(SPLIT(B8,""/| |:""),1)) + TIME(INDEX(SPLIT(B8,""/| |:""),4), INDEX(SPLIT(B8,""/| |:""),5), INDEX(SPLIT(B8,""/| |:""),6)) - DATE(1970,1,1)) * 86400)"),1.714390053E9)</f>
        <v>1714390053</v>
      </c>
      <c r="G8" s="3">
        <f>IFERROR(__xludf.DUMMYFUNCTION("INT((DATE(INDEX(SPLIT(C8,""/| |:""),3), INDEX(SPLIT(C8,""/| |:""),2), INDEX(SPLIT(C8,""/| |:""),1)) + TIME(INDEX(SPLIT(C8,""/| |:""),4), INDEX(SPLIT(C8,""/| |:""),5), INDEX(SPLIT(C8,""/| |:""),6)) - DATE(1970,1,1)) * 86400)"),1.776598053E9)</f>
        <v>1776598053</v>
      </c>
    </row>
    <row r="9">
      <c r="A9" s="1" t="s">
        <v>6</v>
      </c>
      <c r="B9" s="5">
        <v>45416.48583333333</v>
      </c>
      <c r="C9" s="1" t="s">
        <v>529</v>
      </c>
      <c r="D9" s="1" t="s">
        <v>530</v>
      </c>
      <c r="F9" s="3">
        <f>IFERROR(__xludf.DUMMYFUNCTION("INT((DATE(INDEX(SPLIT(B9,""/| |:""),3), INDEX(SPLIT(B9,""/| |:""),2), INDEX(SPLIT(B9,""/| |:""),1)) + TIME(INDEX(SPLIT(B9,""/| |:""),4), INDEX(SPLIT(B9,""/| |:""),5), INDEX(SPLIT(B9,""/| |:""),6)) - DATE(1970,1,1)) * 86400)"),1.712317176E9)</f>
        <v>1712317176</v>
      </c>
      <c r="G9" s="3">
        <f>IFERROR(__xludf.DUMMYFUNCTION("INT((DATE(INDEX(SPLIT(C9,""/| |:""),3), INDEX(SPLIT(C9,""/| |:""),2), INDEX(SPLIT(C9,""/| |:""),1)) + TIME(INDEX(SPLIT(C9,""/| |:""),4), INDEX(SPLIT(C9,""/| |:""),5), INDEX(SPLIT(C9,""/| |:""),6)) - DATE(1970,1,1)) * 86400)"),1.743421176E9)</f>
        <v>1743421176</v>
      </c>
    </row>
    <row r="10">
      <c r="A10" s="1" t="s">
        <v>8</v>
      </c>
      <c r="B10" s="5">
        <v>45211.45446759259</v>
      </c>
      <c r="C10" s="7">
        <v>45394.45446759259</v>
      </c>
      <c r="D10" s="1" t="s">
        <v>531</v>
      </c>
      <c r="F10" s="3">
        <f>IFERROR(__xludf.DUMMYFUNCTION("INT((DATE(INDEX(SPLIT(B10,""/| |:""),3), INDEX(SPLIT(B10,""/| |:""),2), INDEX(SPLIT(B10,""/| |:""),1)) + TIME(INDEX(SPLIT(B10,""/| |:""),4), INDEX(SPLIT(B10,""/| |:""),5), INDEX(SPLIT(B10,""/| |:""),6)) - DATE(1970,1,1)) * 86400)"),1.702205666E9)</f>
        <v>1702205666</v>
      </c>
      <c r="G10" s="3">
        <f>IFERROR(__xludf.DUMMYFUNCTION("INT((DATE(INDEX(SPLIT(C10,""/| |:""),3), INDEX(SPLIT(C10,""/| |:""),2), INDEX(SPLIT(C10,""/| |:""),1)) + TIME(INDEX(SPLIT(C10,""/| |:""),4), INDEX(SPLIT(C10,""/| |:""),5), INDEX(SPLIT(C10,""/| |:""),6)) - DATE(1970,1,1)) * 86400)"),1.733309666E9)</f>
        <v>1733309666</v>
      </c>
    </row>
    <row r="11">
      <c r="A11" s="1" t="s">
        <v>13</v>
      </c>
      <c r="B11" s="5" t="s">
        <v>532</v>
      </c>
      <c r="C11" s="1" t="s">
        <v>533</v>
      </c>
      <c r="D11" s="1" t="s">
        <v>534</v>
      </c>
      <c r="F11" s="3">
        <f>IFERROR(__xludf.DUMMYFUNCTION("INT((DATE(INDEX(SPLIT(B11,""/| |:""),3), INDEX(SPLIT(B11,""/| |:""),2), INDEX(SPLIT(B11,""/| |:""),1)) + TIME(INDEX(SPLIT(B11,""/| |:""),4), INDEX(SPLIT(B11,""/| |:""),5), INDEX(SPLIT(B11,""/| |:""),6)) - DATE(1970,1,1)) * 86400)"),1.703192232E9)</f>
        <v>1703192232</v>
      </c>
      <c r="G11" s="3">
        <f>IFERROR(__xludf.DUMMYFUNCTION("INT((DATE(INDEX(SPLIT(C11,""/| |:""),3), INDEX(SPLIT(C11,""/| |:""),2), INDEX(SPLIT(C11,""/| |:""),1)) + TIME(INDEX(SPLIT(C11,""/| |:""),4), INDEX(SPLIT(C11,""/| |:""),5), INDEX(SPLIT(C11,""/| |:""),6)) - DATE(1970,1,1)) * 86400)"),1.734296232E9)</f>
        <v>1734296232</v>
      </c>
    </row>
    <row r="12">
      <c r="A12" s="1" t="s">
        <v>12</v>
      </c>
      <c r="B12" s="5" t="s">
        <v>535</v>
      </c>
      <c r="C12" s="1" t="s">
        <v>536</v>
      </c>
      <c r="D12" s="1" t="s">
        <v>537</v>
      </c>
      <c r="F12" s="3">
        <f>IFERROR(__xludf.DUMMYFUNCTION("INT((DATE(INDEX(SPLIT(B12,""/| |:""),3), INDEX(SPLIT(B12,""/| |:""),2), INDEX(SPLIT(B12,""/| |:""),1)) + TIME(INDEX(SPLIT(B12,""/| |:""),4), INDEX(SPLIT(B12,""/| |:""),5), INDEX(SPLIT(B12,""/| |:""),6)) - DATE(1970,1,1)) * 86400)"),1.703193484E9)</f>
        <v>1703193484</v>
      </c>
      <c r="G12" s="3">
        <f>IFERROR(__xludf.DUMMYFUNCTION("INT((DATE(INDEX(SPLIT(C12,""/| |:""),3), INDEX(SPLIT(C12,""/| |:""),2), INDEX(SPLIT(C12,""/| |:""),1)) + TIME(INDEX(SPLIT(C12,""/| |:""),4), INDEX(SPLIT(C12,""/| |:""),5), INDEX(SPLIT(C12,""/| |:""),6)) - DATE(1970,1,1)) * 86400)"),1.734297484E9)</f>
        <v>1734297484</v>
      </c>
    </row>
    <row r="13">
      <c r="A13" s="1" t="s">
        <v>11</v>
      </c>
      <c r="B13" s="5" t="s">
        <v>538</v>
      </c>
      <c r="C13" s="1" t="s">
        <v>539</v>
      </c>
      <c r="D13" s="1" t="s">
        <v>540</v>
      </c>
      <c r="F13" s="3">
        <f>IFERROR(__xludf.DUMMYFUNCTION("INT((DATE(INDEX(SPLIT(B13,""/| |:""),3), INDEX(SPLIT(B13,""/| |:""),2), INDEX(SPLIT(B13,""/| |:""),1)) + TIME(INDEX(SPLIT(B13,""/| |:""),4), INDEX(SPLIT(B13,""/| |:""),5), INDEX(SPLIT(B13,""/| |:""),6)) - DATE(1970,1,1)) * 86400)"),1.703232911E9)</f>
        <v>1703232911</v>
      </c>
      <c r="G13" s="3">
        <f>IFERROR(__xludf.DUMMYFUNCTION("INT((DATE(INDEX(SPLIT(C13,""/| |:""),3), INDEX(SPLIT(C13,""/| |:""),2), INDEX(SPLIT(C13,""/| |:""),1)) + TIME(INDEX(SPLIT(C13,""/| |:""),4), INDEX(SPLIT(C13,""/| |:""),5), INDEX(SPLIT(C13,""/| |:""),6)) - DATE(1970,1,1)) * 86400)"),1.734336911E9)</f>
        <v>1734336911</v>
      </c>
    </row>
    <row r="14">
      <c r="A14" s="1" t="s">
        <v>10</v>
      </c>
      <c r="B14" s="5" t="s">
        <v>541</v>
      </c>
      <c r="C14" s="1" t="s">
        <v>542</v>
      </c>
      <c r="D14" s="1" t="s">
        <v>543</v>
      </c>
      <c r="F14" s="3">
        <f>IFERROR(__xludf.DUMMYFUNCTION("INT((DATE(INDEX(SPLIT(B14,""/| |:""),3), INDEX(SPLIT(B14,""/| |:""),2), INDEX(SPLIT(B14,""/| |:""),1)) + TIME(INDEX(SPLIT(B14,""/| |:""),4), INDEX(SPLIT(B14,""/| |:""),5), INDEX(SPLIT(B14,""/| |:""),6)) - DATE(1970,1,1)) * 86400)"),1.70375916E9)</f>
        <v>1703759160</v>
      </c>
      <c r="G14" s="3">
        <f>IFERROR(__xludf.DUMMYFUNCTION("INT((DATE(INDEX(SPLIT(C14,""/| |:""),3), INDEX(SPLIT(C14,""/| |:""),2), INDEX(SPLIT(C14,""/| |:""),1)) + TIME(INDEX(SPLIT(C14,""/| |:""),4), INDEX(SPLIT(C14,""/| |:""),5), INDEX(SPLIT(C14,""/| |:""),6)) - DATE(1970,1,1)) * 86400)"),1.73486316E9)</f>
        <v>1734863160</v>
      </c>
    </row>
    <row r="15">
      <c r="A15" s="1" t="s">
        <v>15</v>
      </c>
      <c r="B15" s="5" t="s">
        <v>544</v>
      </c>
      <c r="C15" s="7">
        <v>45547.934432870374</v>
      </c>
      <c r="D15" s="1" t="s">
        <v>545</v>
      </c>
      <c r="F15" s="3">
        <f>IFERROR(__xludf.DUMMYFUNCTION("INT((DATE(INDEX(SPLIT(B15,""/| |:""),3), INDEX(SPLIT(B15,""/| |:""),2), INDEX(SPLIT(B15,""/| |:""),1)) + TIME(INDEX(SPLIT(B15,""/| |:""),4), INDEX(SPLIT(B15,""/| |:""),5), INDEX(SPLIT(B15,""/| |:""),6)) - DATE(1970,1,1)) * 86400)"),1.702679135E9)</f>
        <v>1702679135</v>
      </c>
      <c r="G15" s="3">
        <f>IFERROR(__xludf.DUMMYFUNCTION("INT((DATE(INDEX(SPLIT(C15,""/| |:""),3), INDEX(SPLIT(C15,""/| |:""),2), INDEX(SPLIT(C15,""/| |:""),1)) + TIME(INDEX(SPLIT(C15,""/| |:""),4), INDEX(SPLIT(C15,""/| |:""),5), INDEX(SPLIT(C15,""/| |:""),6)) - DATE(1970,1,1)) * 86400)"),1.733783135E9)</f>
        <v>1733783135</v>
      </c>
    </row>
    <row r="16">
      <c r="A16" s="1" t="s">
        <v>9</v>
      </c>
      <c r="B16" s="5" t="s">
        <v>546</v>
      </c>
      <c r="C16" s="1" t="s">
        <v>547</v>
      </c>
      <c r="D16" s="1" t="s">
        <v>548</v>
      </c>
      <c r="F16" s="3">
        <f>IFERROR(__xludf.DUMMYFUNCTION("INT((DATE(INDEX(SPLIT(B16,""/| |:""),3), INDEX(SPLIT(B16,""/| |:""),2), INDEX(SPLIT(B16,""/| |:""),1)) + TIME(INDEX(SPLIT(B16,""/| |:""),4), INDEX(SPLIT(B16,""/| |:""),5), INDEX(SPLIT(B16,""/| |:""),6)) - DATE(1970,1,1)) * 86400)"),1.71092982E9)</f>
        <v>1710929820</v>
      </c>
      <c r="G16" s="3">
        <f>IFERROR(__xludf.DUMMYFUNCTION("INT((DATE(INDEX(SPLIT(C16,""/| |:""),3), INDEX(SPLIT(C16,""/| |:""),2), INDEX(SPLIT(C16,""/| |:""),1)) + TIME(INDEX(SPLIT(C16,""/| |:""),4), INDEX(SPLIT(C16,""/| |:""),5), INDEX(SPLIT(C16,""/| |:""),6)) - DATE(1970,1,1)) * 86400)"),1.74203382E9)</f>
        <v>1742033820</v>
      </c>
    </row>
    <row r="17">
      <c r="A17" s="1" t="s">
        <v>14</v>
      </c>
      <c r="B17" s="5" t="s">
        <v>549</v>
      </c>
      <c r="C17" s="1" t="s">
        <v>550</v>
      </c>
      <c r="D17" s="1" t="s">
        <v>551</v>
      </c>
      <c r="F17" s="3">
        <f>IFERROR(__xludf.DUMMYFUNCTION("INT((DATE(INDEX(SPLIT(B17,""/| |:""),3), INDEX(SPLIT(B17,""/| |:""),2), INDEX(SPLIT(B17,""/| |:""),1)) + TIME(INDEX(SPLIT(B17,""/| |:""),4), INDEX(SPLIT(B17,""/| |:""),5), INDEX(SPLIT(B17,""/| |:""),6)) - DATE(1970,1,1)) * 86400)"),1.711630275E9)</f>
        <v>1711630275</v>
      </c>
      <c r="G17" s="3">
        <f>IFERROR(__xludf.DUMMYFUNCTION("INT((DATE(INDEX(SPLIT(C17,""/| |:""),3), INDEX(SPLIT(C17,""/| |:""),2), INDEX(SPLIT(C17,""/| |:""),1)) + TIME(INDEX(SPLIT(C17,""/| |:""),4), INDEX(SPLIT(C17,""/| |:""),5), INDEX(SPLIT(C17,""/| |:""),6)) - DATE(1970,1,1)) * 86400)"),1.742734275E9)</f>
        <v>1742734275</v>
      </c>
    </row>
    <row r="18">
      <c r="A18" s="1" t="s">
        <v>20</v>
      </c>
      <c r="B18" s="5" t="s">
        <v>552</v>
      </c>
      <c r="C18" s="1" t="s">
        <v>553</v>
      </c>
      <c r="D18" s="1" t="s">
        <v>554</v>
      </c>
      <c r="F18" s="3">
        <f>IFERROR(__xludf.DUMMYFUNCTION("INT((DATE(INDEX(SPLIT(B18,""/| |:""),3), INDEX(SPLIT(B18,""/| |:""),2), INDEX(SPLIT(B18,""/| |:""),1)) + TIME(INDEX(SPLIT(B18,""/| |:""),4), INDEX(SPLIT(B18,""/| |:""),5), INDEX(SPLIT(B18,""/| |:""),6)) - DATE(1970,1,1)) * 86400)"),1.697932951E9)</f>
        <v>1697932951</v>
      </c>
      <c r="G18" s="3">
        <f>IFERROR(__xludf.DUMMYFUNCTION("INT((DATE(INDEX(SPLIT(C18,""/| |:""),3), INDEX(SPLIT(C18,""/| |:""),2), INDEX(SPLIT(C18,""/| |:""),1)) + TIME(INDEX(SPLIT(C18,""/| |:""),4), INDEX(SPLIT(C18,""/| |:""),5), INDEX(SPLIT(C18,""/| |:""),6)) - DATE(1970,1,1)) * 86400)"),1.721260951E9)</f>
        <v>1721260951</v>
      </c>
    </row>
    <row r="19">
      <c r="A19" s="1" t="s">
        <v>19</v>
      </c>
      <c r="B19" s="5">
        <v>45118.78228009259</v>
      </c>
      <c r="C19" s="7">
        <v>45359.78228009259</v>
      </c>
      <c r="D19" s="1" t="s">
        <v>555</v>
      </c>
      <c r="F19" s="3">
        <f>IFERROR(__xludf.DUMMYFUNCTION("INT((DATE(INDEX(SPLIT(B19,""/| |:""),3), INDEX(SPLIT(B19,""/| |:""),2), INDEX(SPLIT(B19,""/| |:""),1)) + TIME(INDEX(SPLIT(B19,""/| |:""),4), INDEX(SPLIT(B19,""/| |:""),5), INDEX(SPLIT(B19,""/| |:""),6)) - DATE(1970,1,1)) * 86400)"),1.699382789E9)</f>
        <v>1699382789</v>
      </c>
      <c r="G19" s="3">
        <f>IFERROR(__xludf.DUMMYFUNCTION("INT((DATE(INDEX(SPLIT(C19,""/| |:""),3), INDEX(SPLIT(C19,""/| |:""),2), INDEX(SPLIT(C19,""/| |:""),1)) + TIME(INDEX(SPLIT(C19,""/| |:""),4), INDEX(SPLIT(C19,""/| |:""),5), INDEX(SPLIT(C19,""/| |:""),6)) - DATE(1970,1,1)) * 86400)"),1.722710789E9)</f>
        <v>1722710789</v>
      </c>
    </row>
    <row r="20">
      <c r="A20" s="1" t="s">
        <v>18</v>
      </c>
      <c r="B20" s="5">
        <v>45415.8165625</v>
      </c>
      <c r="C20" s="1" t="s">
        <v>556</v>
      </c>
      <c r="D20" s="1" t="s">
        <v>557</v>
      </c>
      <c r="F20" s="3">
        <f>IFERROR(__xludf.DUMMYFUNCTION("INT((DATE(INDEX(SPLIT(B20,""/| |:""),3), INDEX(SPLIT(B20,""/| |:""),2), INDEX(SPLIT(B20,""/| |:""),1)) + TIME(INDEX(SPLIT(B20,""/| |:""),4), INDEX(SPLIT(B20,""/| |:""),5), INDEX(SPLIT(B20,""/| |:""),6)) - DATE(1970,1,1)) * 86400)"),1.709667351E9)</f>
        <v>1709667351</v>
      </c>
      <c r="G20" s="3">
        <f>IFERROR(__xludf.DUMMYFUNCTION("INT((DATE(INDEX(SPLIT(C20,""/| |:""),3), INDEX(SPLIT(C20,""/| |:""),2), INDEX(SPLIT(C20,""/| |:""),1)) + TIME(INDEX(SPLIT(C20,""/| |:""),4), INDEX(SPLIT(C20,""/| |:""),5), INDEX(SPLIT(C20,""/| |:""),6)) - DATE(1970,1,1)) * 86400)"),1.732995351E9)</f>
        <v>1732995351</v>
      </c>
    </row>
    <row r="21">
      <c r="A21" s="1" t="s">
        <v>18</v>
      </c>
      <c r="B21" s="5">
        <v>45415.82850694445</v>
      </c>
      <c r="C21" s="1" t="s">
        <v>558</v>
      </c>
      <c r="D21" s="1" t="s">
        <v>559</v>
      </c>
      <c r="F21" s="3">
        <f>IFERROR(__xludf.DUMMYFUNCTION("INT((DATE(INDEX(SPLIT(B21,""/| |:""),3), INDEX(SPLIT(B21,""/| |:""),2), INDEX(SPLIT(B21,""/| |:""),1)) + TIME(INDEX(SPLIT(B21,""/| |:""),4), INDEX(SPLIT(B21,""/| |:""),5), INDEX(SPLIT(B21,""/| |:""),6)) - DATE(1970,1,1)) * 86400)"),1.709668383E9)</f>
        <v>1709668383</v>
      </c>
      <c r="G21" s="3">
        <f>IFERROR(__xludf.DUMMYFUNCTION("INT((DATE(INDEX(SPLIT(C21,""/| |:""),3), INDEX(SPLIT(C21,""/| |:""),2), INDEX(SPLIT(C21,""/| |:""),1)) + TIME(INDEX(SPLIT(C21,""/| |:""),4), INDEX(SPLIT(C21,""/| |:""),5), INDEX(SPLIT(C21,""/| |:""),6)) - DATE(1970,1,1)) * 86400)"),1.732996383E9)</f>
        <v>1732996383</v>
      </c>
    </row>
    <row r="22">
      <c r="A22" s="1" t="s">
        <v>17</v>
      </c>
      <c r="B22" s="5">
        <v>45415.833819444444</v>
      </c>
      <c r="C22" s="1" t="s">
        <v>560</v>
      </c>
      <c r="D22" s="1" t="s">
        <v>561</v>
      </c>
      <c r="F22" s="3">
        <f>IFERROR(__xludf.DUMMYFUNCTION("INT((DATE(INDEX(SPLIT(B22,""/| |:""),3), INDEX(SPLIT(B22,""/| |:""),2), INDEX(SPLIT(B22,""/| |:""),1)) + TIME(INDEX(SPLIT(B22,""/| |:""),4), INDEX(SPLIT(B22,""/| |:""),5), INDEX(SPLIT(B22,""/| |:""),6)) - DATE(1970,1,1)) * 86400)"),1.709668842E9)</f>
        <v>1709668842</v>
      </c>
      <c r="G22" s="3">
        <f>IFERROR(__xludf.DUMMYFUNCTION("INT((DATE(INDEX(SPLIT(C22,""/| |:""),3), INDEX(SPLIT(C22,""/| |:""),2), INDEX(SPLIT(C22,""/| |:""),1)) + TIME(INDEX(SPLIT(C22,""/| |:""),4), INDEX(SPLIT(C22,""/| |:""),5), INDEX(SPLIT(C22,""/| |:""),6)) - DATE(1970,1,1)) * 86400)"),1.732996842E9)</f>
        <v>1732996842</v>
      </c>
    </row>
    <row r="23">
      <c r="A23" s="1" t="s">
        <v>16</v>
      </c>
      <c r="B23" s="5" t="s">
        <v>562</v>
      </c>
      <c r="C23" s="7">
        <v>45933.44278935185</v>
      </c>
      <c r="D23" s="1" t="s">
        <v>563</v>
      </c>
      <c r="F23" s="3">
        <f>IFERROR(__xludf.DUMMYFUNCTION("INT((DATE(INDEX(SPLIT(B23,""/| |:""),3), INDEX(SPLIT(B23,""/| |:""),2), INDEX(SPLIT(B23,""/| |:""),1)) + TIME(INDEX(SPLIT(B23,""/| |:""),4), INDEX(SPLIT(B23,""/| |:""),5), INDEX(SPLIT(B23,""/| |:""),6)) - DATE(1970,1,1)) * 86400)"),1.718275057E9)</f>
        <v>1718275057</v>
      </c>
      <c r="G23" s="3">
        <f>IFERROR(__xludf.DUMMYFUNCTION("INT((DATE(INDEX(SPLIT(C23,""/| |:""),3), INDEX(SPLIT(C23,""/| |:""),2), INDEX(SPLIT(C23,""/| |:""),1)) + TIME(INDEX(SPLIT(C23,""/| |:""),4), INDEX(SPLIT(C23,""/| |:""),5), INDEX(SPLIT(C23,""/| |:""),6)) - DATE(1970,1,1)) * 86400)"),1.741603057E9)</f>
        <v>1741603057</v>
      </c>
    </row>
    <row r="24">
      <c r="A24" s="1" t="s">
        <v>28</v>
      </c>
      <c r="B24" s="5" t="s">
        <v>564</v>
      </c>
      <c r="C24" s="1" t="s">
        <v>565</v>
      </c>
      <c r="D24" s="1" t="s">
        <v>566</v>
      </c>
      <c r="F24" s="3">
        <f>IFERROR(__xludf.DUMMYFUNCTION("INT((DATE(INDEX(SPLIT(B24,""/| |:""),3), INDEX(SPLIT(B24,""/| |:""),2), INDEX(SPLIT(B24,""/| |:""),1)) + TIME(INDEX(SPLIT(B24,""/| |:""),4), INDEX(SPLIT(B24,""/| |:""),5), INDEX(SPLIT(B24,""/| |:""),6)) - DATE(1970,1,1)) * 86400)"),1.698700346E9)</f>
        <v>1698700346</v>
      </c>
      <c r="G24" s="3">
        <f>IFERROR(__xludf.DUMMYFUNCTION("INT((DATE(INDEX(SPLIT(C24,""/| |:""),3), INDEX(SPLIT(C24,""/| |:""),2), INDEX(SPLIT(C24,""/| |:""),1)) + TIME(INDEX(SPLIT(C24,""/| |:""),4), INDEX(SPLIT(C24,""/| |:""),5), INDEX(SPLIT(C24,""/| |:""),6)) - DATE(1970,1,1)) * 86400)"),1.714252346E9)</f>
        <v>1714252346</v>
      </c>
    </row>
    <row r="25">
      <c r="A25" s="1" t="s">
        <v>21</v>
      </c>
      <c r="B25" s="5" t="s">
        <v>567</v>
      </c>
      <c r="C25" s="1" t="s">
        <v>568</v>
      </c>
      <c r="D25" s="1" t="s">
        <v>569</v>
      </c>
      <c r="F25" s="3">
        <f>IFERROR(__xludf.DUMMYFUNCTION("INT((DATE(INDEX(SPLIT(B25,""/| |:""),3), INDEX(SPLIT(B25,""/| |:""),2), INDEX(SPLIT(B25,""/| |:""),1)) + TIME(INDEX(SPLIT(B25,""/| |:""),4), INDEX(SPLIT(B25,""/| |:""),5), INDEX(SPLIT(B25,""/| |:""),6)) - DATE(1970,1,1)) * 86400)"),1.703718915E9)</f>
        <v>1703718915</v>
      </c>
      <c r="G25" s="3">
        <f>IFERROR(__xludf.DUMMYFUNCTION("INT((DATE(INDEX(SPLIT(C25,""/| |:""),3), INDEX(SPLIT(C25,""/| |:""),2), INDEX(SPLIT(C25,""/| |:""),1)) + TIME(INDEX(SPLIT(C25,""/| |:""),4), INDEX(SPLIT(C25,""/| |:""),5), INDEX(SPLIT(C25,""/| |:""),6)) - DATE(1970,1,1)) * 86400)"),1.719270915E9)</f>
        <v>1719270915</v>
      </c>
    </row>
    <row r="26">
      <c r="A26" s="1" t="s">
        <v>27</v>
      </c>
      <c r="B26" s="5" t="s">
        <v>570</v>
      </c>
      <c r="C26" s="1" t="s">
        <v>571</v>
      </c>
      <c r="D26" s="1" t="s">
        <v>572</v>
      </c>
      <c r="F26" s="3">
        <f>IFERROR(__xludf.DUMMYFUNCTION("INT((DATE(INDEX(SPLIT(B26,""/| |:""),3), INDEX(SPLIT(B26,""/| |:""),2), INDEX(SPLIT(B26,""/| |:""),1)) + TIME(INDEX(SPLIT(B26,""/| |:""),4), INDEX(SPLIT(B26,""/| |:""),5), INDEX(SPLIT(B26,""/| |:""),6)) - DATE(1970,1,1)) * 86400)"),1.70362029E9)</f>
        <v>1703620290</v>
      </c>
      <c r="G26" s="3">
        <f>IFERROR(__xludf.DUMMYFUNCTION("INT((DATE(INDEX(SPLIT(C26,""/| |:""),3), INDEX(SPLIT(C26,""/| |:""),2), INDEX(SPLIT(C26,""/| |:""),1)) + TIME(INDEX(SPLIT(C26,""/| |:""),4), INDEX(SPLIT(C26,""/| |:""),5), INDEX(SPLIT(C26,""/| |:""),6)) - DATE(1970,1,1)) * 86400)"),1.71917229E9)</f>
        <v>1719172290</v>
      </c>
    </row>
    <row r="27">
      <c r="A27" s="1" t="s">
        <v>26</v>
      </c>
      <c r="B27" s="5" t="s">
        <v>573</v>
      </c>
      <c r="C27" s="1" t="s">
        <v>574</v>
      </c>
      <c r="D27" s="1" t="s">
        <v>575</v>
      </c>
      <c r="F27" s="3">
        <f>IFERROR(__xludf.DUMMYFUNCTION("INT((DATE(INDEX(SPLIT(B27,""/| |:""),3), INDEX(SPLIT(B27,""/| |:""),2), INDEX(SPLIT(B27,""/| |:""),1)) + TIME(INDEX(SPLIT(B27,""/| |:""),4), INDEX(SPLIT(B27,""/| |:""),5), INDEX(SPLIT(B27,""/| |:""),6)) - DATE(1970,1,1)) * 86400)"),1.704061054E9)</f>
        <v>1704061054</v>
      </c>
      <c r="G27" s="3">
        <f>IFERROR(__xludf.DUMMYFUNCTION("INT((DATE(INDEX(SPLIT(C27,""/| |:""),3), INDEX(SPLIT(C27,""/| |:""),2), INDEX(SPLIT(C27,""/| |:""),1)) + TIME(INDEX(SPLIT(C27,""/| |:""),4), INDEX(SPLIT(C27,""/| |:""),5), INDEX(SPLIT(C27,""/| |:""),6)) - DATE(1970,1,1)) * 86400)"),1.719613054E9)</f>
        <v>1719613054</v>
      </c>
    </row>
    <row r="28">
      <c r="A28" s="1" t="s">
        <v>29</v>
      </c>
      <c r="B28" s="5">
        <v>45323.980405092596</v>
      </c>
      <c r="C28" s="1" t="s">
        <v>576</v>
      </c>
      <c r="D28" s="1" t="s">
        <v>577</v>
      </c>
      <c r="F28" s="3">
        <f>IFERROR(__xludf.DUMMYFUNCTION("INT((DATE(INDEX(SPLIT(B28,""/| |:""),3), INDEX(SPLIT(B28,""/| |:""),2), INDEX(SPLIT(B28,""/| |:""),1)) + TIME(INDEX(SPLIT(B28,""/| |:""),4), INDEX(SPLIT(B28,""/| |:""),5), INDEX(SPLIT(B28,""/| |:""),6)) - DATE(1970,1,1)) * 86400)"),1.704238307E9)</f>
        <v>1704238307</v>
      </c>
      <c r="G28" s="3">
        <f>IFERROR(__xludf.DUMMYFUNCTION("INT((DATE(INDEX(SPLIT(C28,""/| |:""),3), INDEX(SPLIT(C28,""/| |:""),2), INDEX(SPLIT(C28,""/| |:""),1)) + TIME(INDEX(SPLIT(C28,""/| |:""),4), INDEX(SPLIT(C28,""/| |:""),5), INDEX(SPLIT(C28,""/| |:""),6)) - DATE(1970,1,1)) * 86400)"),1.719790307E9)</f>
        <v>1719790307</v>
      </c>
    </row>
    <row r="29">
      <c r="A29" s="1" t="s">
        <v>24</v>
      </c>
      <c r="B29" s="5" t="s">
        <v>578</v>
      </c>
      <c r="C29" s="1" t="s">
        <v>579</v>
      </c>
      <c r="D29" s="1" t="s">
        <v>580</v>
      </c>
      <c r="F29" s="3">
        <f>IFERROR(__xludf.DUMMYFUNCTION("INT((DATE(INDEX(SPLIT(B29,""/| |:""),3), INDEX(SPLIT(B29,""/| |:""),2), INDEX(SPLIT(B29,""/| |:""),1)) + TIME(INDEX(SPLIT(B29,""/| |:""),4), INDEX(SPLIT(B29,""/| |:""),5), INDEX(SPLIT(B29,""/| |:""),6)) - DATE(1970,1,1)) * 86400)"),1.714305434E9)</f>
        <v>1714305434</v>
      </c>
      <c r="G29" s="3">
        <f>IFERROR(__xludf.DUMMYFUNCTION("INT((DATE(INDEX(SPLIT(C29,""/| |:""),3), INDEX(SPLIT(C29,""/| |:""),2), INDEX(SPLIT(C29,""/| |:""),1)) + TIME(INDEX(SPLIT(C29,""/| |:""),4), INDEX(SPLIT(C29,""/| |:""),5), INDEX(SPLIT(C29,""/| |:""),6)) - DATE(1970,1,1)) * 86400)"),1.745409434E9)</f>
        <v>1745409434</v>
      </c>
    </row>
    <row r="30">
      <c r="A30" s="1" t="s">
        <v>23</v>
      </c>
      <c r="B30" s="5" t="s">
        <v>581</v>
      </c>
      <c r="C30" s="1" t="s">
        <v>582</v>
      </c>
      <c r="D30" s="1" t="s">
        <v>583</v>
      </c>
      <c r="F30" s="3">
        <f>IFERROR(__xludf.DUMMYFUNCTION("INT((DATE(INDEX(SPLIT(B30,""/| |:""),3), INDEX(SPLIT(B30,""/| |:""),2), INDEX(SPLIT(B30,""/| |:""),1)) + TIME(INDEX(SPLIT(B30,""/| |:""),4), INDEX(SPLIT(B30,""/| |:""),5), INDEX(SPLIT(B30,""/| |:""),6)) - DATE(1970,1,1)) * 86400)"),1.714332751E9)</f>
        <v>1714332751</v>
      </c>
      <c r="G30" s="3">
        <f>IFERROR(__xludf.DUMMYFUNCTION("INT((DATE(INDEX(SPLIT(C30,""/| |:""),3), INDEX(SPLIT(C30,""/| |:""),2), INDEX(SPLIT(C30,""/| |:""),1)) + TIME(INDEX(SPLIT(C30,""/| |:""),4), INDEX(SPLIT(C30,""/| |:""),5), INDEX(SPLIT(C30,""/| |:""),6)) - DATE(1970,1,1)) * 86400)"),1.745436751E9)</f>
        <v>1745436751</v>
      </c>
    </row>
    <row r="31">
      <c r="A31" s="1" t="s">
        <v>22</v>
      </c>
      <c r="B31" s="5" t="s">
        <v>584</v>
      </c>
      <c r="C31" s="1" t="s">
        <v>585</v>
      </c>
      <c r="D31" s="1" t="s">
        <v>586</v>
      </c>
      <c r="F31" s="3">
        <f>IFERROR(__xludf.DUMMYFUNCTION("INT((DATE(INDEX(SPLIT(B31,""/| |:""),3), INDEX(SPLIT(B31,""/| |:""),2), INDEX(SPLIT(B31,""/| |:""),1)) + TIME(INDEX(SPLIT(B31,""/| |:""),4), INDEX(SPLIT(B31,""/| |:""),5), INDEX(SPLIT(B31,""/| |:""),6)) - DATE(1970,1,1)) * 86400)"),1.71446828E9)</f>
        <v>1714468280</v>
      </c>
      <c r="G31" s="3">
        <f>IFERROR(__xludf.DUMMYFUNCTION("INT((DATE(INDEX(SPLIT(C31,""/| |:""),3), INDEX(SPLIT(C31,""/| |:""),2), INDEX(SPLIT(C31,""/| |:""),1)) + TIME(INDEX(SPLIT(C31,""/| |:""),4), INDEX(SPLIT(C31,""/| |:""),5), INDEX(SPLIT(C31,""/| |:""),6)) - DATE(1970,1,1)) * 86400)"),1.74557228E9)</f>
        <v>1745572280</v>
      </c>
    </row>
    <row r="32">
      <c r="A32" s="1" t="s">
        <v>30</v>
      </c>
      <c r="B32" s="5" t="s">
        <v>587</v>
      </c>
      <c r="C32" s="1" t="s">
        <v>588</v>
      </c>
      <c r="D32" s="1" t="s">
        <v>589</v>
      </c>
      <c r="F32" s="3">
        <f>IFERROR(__xludf.DUMMYFUNCTION("INT((DATE(INDEX(SPLIT(B32,""/| |:""),3), INDEX(SPLIT(B32,""/| |:""),2), INDEX(SPLIT(B32,""/| |:""),1)) + TIME(INDEX(SPLIT(B32,""/| |:""),4), INDEX(SPLIT(B32,""/| |:""),5), INDEX(SPLIT(B32,""/| |:""),6)) - DATE(1970,1,1)) * 86400)"),1.700035267E9)</f>
        <v>1700035267</v>
      </c>
      <c r="G32" s="3">
        <f>IFERROR(__xludf.DUMMYFUNCTION("INT((DATE(INDEX(SPLIT(C32,""/| |:""),3), INDEX(SPLIT(C32,""/| |:""),2), INDEX(SPLIT(C32,""/| |:""),1)) + TIME(INDEX(SPLIT(C32,""/| |:""),4), INDEX(SPLIT(C32,""/| |:""),5), INDEX(SPLIT(C32,""/| |:""),6)) - DATE(1970,1,1)) * 86400)"),1.712995267E9)</f>
        <v>1712995267</v>
      </c>
    </row>
    <row r="33">
      <c r="A33" s="1" t="s">
        <v>25</v>
      </c>
      <c r="B33" s="5" t="s">
        <v>590</v>
      </c>
      <c r="C33" s="1" t="s">
        <v>591</v>
      </c>
      <c r="D33" s="1" t="s">
        <v>592</v>
      </c>
      <c r="F33" s="3">
        <f>IFERROR(__xludf.DUMMYFUNCTION("INT((DATE(INDEX(SPLIT(B33,""/| |:""),3), INDEX(SPLIT(B33,""/| |:""),2), INDEX(SPLIT(B33,""/| |:""),1)) + TIME(INDEX(SPLIT(B33,""/| |:""),4), INDEX(SPLIT(B33,""/| |:""),5), INDEX(SPLIT(B33,""/| |:""),6)) - DATE(1970,1,1)) * 86400)"),1.709249583E9)</f>
        <v>1709249583</v>
      </c>
      <c r="G33" s="3">
        <f>IFERROR(__xludf.DUMMYFUNCTION("INT((DATE(INDEX(SPLIT(C33,""/| |:""),3), INDEX(SPLIT(C33,""/| |:""),2), INDEX(SPLIT(C33,""/| |:""),1)) + TIME(INDEX(SPLIT(C33,""/| |:""),4), INDEX(SPLIT(C33,""/| |:""),5), INDEX(SPLIT(C33,""/| |:""),6)) - DATE(1970,1,1)) * 86400)"),1.724801583E9)</f>
        <v>1724801583</v>
      </c>
    </row>
    <row r="34">
      <c r="A34" s="1" t="s">
        <v>500</v>
      </c>
      <c r="B34" s="5" t="s">
        <v>593</v>
      </c>
      <c r="C34" s="7">
        <v>45937.15752314815</v>
      </c>
      <c r="D34" s="1" t="s">
        <v>594</v>
      </c>
      <c r="F34" s="3">
        <f>IFERROR(__xludf.DUMMYFUNCTION("INT((DATE(INDEX(SPLIT(B34,""/| |:""),3), INDEX(SPLIT(B34,""/| |:""),2), INDEX(SPLIT(B34,""/| |:""),1)) + TIME(INDEX(SPLIT(B34,""/| |:""),4), INDEX(SPLIT(B34,""/| |:""),5), INDEX(SPLIT(B34,""/| |:""),6)) - DATE(1970,1,1)) * 86400)"),1.72101521E9)</f>
        <v>1721015210</v>
      </c>
      <c r="G34" s="3">
        <f>IFERROR(__xludf.DUMMYFUNCTION("INT((DATE(INDEX(SPLIT(C34,""/| |:""),3), INDEX(SPLIT(C34,""/| |:""),2), INDEX(SPLIT(C34,""/| |:""),1)) + TIME(INDEX(SPLIT(C34,""/| |:""),4), INDEX(SPLIT(C34,""/| |:""),5), INDEX(SPLIT(C34,""/| |:""),6)) - DATE(1970,1,1)) * 86400)"),1.75211921E9)</f>
        <v>1752119210</v>
      </c>
    </row>
    <row r="35">
      <c r="A35" s="1" t="s">
        <v>462</v>
      </c>
      <c r="B35" s="5" t="s">
        <v>595</v>
      </c>
      <c r="C35" s="1" t="s">
        <v>596</v>
      </c>
      <c r="D35" s="1" t="s">
        <v>597</v>
      </c>
      <c r="F35" s="3">
        <f>IFERROR(__xludf.DUMMYFUNCTION("INT((DATE(INDEX(SPLIT(B35,""/| |:""),3), INDEX(SPLIT(B35,""/| |:""),2), INDEX(SPLIT(B35,""/| |:""),1)) + TIME(INDEX(SPLIT(B35,""/| |:""),4), INDEX(SPLIT(B35,""/| |:""),5), INDEX(SPLIT(B35,""/| |:""),6)) - DATE(1970,1,1)) * 86400)"),1.697912824E9)</f>
        <v>1697912824</v>
      </c>
      <c r="G35" s="3">
        <f>IFERROR(__xludf.DUMMYFUNCTION("INT((DATE(INDEX(SPLIT(C35,""/| |:""),3), INDEX(SPLIT(C35,""/| |:""),2), INDEX(SPLIT(C35,""/| |:""),1)) + TIME(INDEX(SPLIT(C35,""/| |:""),4), INDEX(SPLIT(C35,""/| |:""),5), INDEX(SPLIT(C35,""/| |:""),6)) - DATE(1970,1,1)) * 86400)"),1.710872824E9)</f>
        <v>1710872824</v>
      </c>
    </row>
    <row r="36">
      <c r="A36" s="1" t="s">
        <v>463</v>
      </c>
      <c r="B36" s="5" t="s">
        <v>598</v>
      </c>
      <c r="C36" s="1" t="s">
        <v>599</v>
      </c>
      <c r="D36" s="1" t="s">
        <v>600</v>
      </c>
      <c r="F36" s="3">
        <f>IFERROR(__xludf.DUMMYFUNCTION("INT((DATE(INDEX(SPLIT(B36,""/| |:""),3), INDEX(SPLIT(B36,""/| |:""),2), INDEX(SPLIT(B36,""/| |:""),1)) + TIME(INDEX(SPLIT(B36,""/| |:""),4), INDEX(SPLIT(B36,""/| |:""),5), INDEX(SPLIT(B36,""/| |:""),6)) - DATE(1970,1,1)) * 86400)"),1.700238722E9)</f>
        <v>1700238722</v>
      </c>
      <c r="G36" s="3">
        <f>IFERROR(__xludf.DUMMYFUNCTION("INT((DATE(INDEX(SPLIT(C36,""/| |:""),3), INDEX(SPLIT(C36,""/| |:""),2), INDEX(SPLIT(C36,""/| |:""),1)) + TIME(INDEX(SPLIT(C36,""/| |:""),4), INDEX(SPLIT(C36,""/| |:""),5), INDEX(SPLIT(C36,""/| |:""),6)) - DATE(1970,1,1)) * 86400)"),1.713198722E9)</f>
        <v>1713198722</v>
      </c>
    </row>
    <row r="37">
      <c r="A37" s="1" t="s">
        <v>452</v>
      </c>
      <c r="B37" s="5">
        <v>45211.50824074074</v>
      </c>
      <c r="C37" s="7">
        <v>45509.50824074074</v>
      </c>
      <c r="D37" s="1" t="s">
        <v>601</v>
      </c>
      <c r="F37" s="3">
        <f>IFERROR(__xludf.DUMMYFUNCTION("INT((DATE(INDEX(SPLIT(B37,""/| |:""),3), INDEX(SPLIT(B37,""/| |:""),2), INDEX(SPLIT(B37,""/| |:""),1)) + TIME(INDEX(SPLIT(B37,""/| |:""),4), INDEX(SPLIT(B37,""/| |:""),5), INDEX(SPLIT(B37,""/| |:""),6)) - DATE(1970,1,1)) * 86400)"),1.702210312E9)</f>
        <v>1702210312</v>
      </c>
      <c r="G37" s="3">
        <f>IFERROR(__xludf.DUMMYFUNCTION("INT((DATE(INDEX(SPLIT(C37,""/| |:""),3), INDEX(SPLIT(C37,""/| |:""),2), INDEX(SPLIT(C37,""/| |:""),1)) + TIME(INDEX(SPLIT(C37,""/| |:""),4), INDEX(SPLIT(C37,""/| |:""),5), INDEX(SPLIT(C37,""/| |:""),6)) - DATE(1970,1,1)) * 86400)"),1.715170312E9)</f>
        <v>1715170312</v>
      </c>
    </row>
    <row r="38">
      <c r="A38" s="1" t="s">
        <v>464</v>
      </c>
      <c r="B38" s="5">
        <v>44938.74092592593</v>
      </c>
      <c r="C38" s="1" t="s">
        <v>602</v>
      </c>
      <c r="D38" s="1" t="s">
        <v>603</v>
      </c>
      <c r="F38" s="3">
        <f>IFERROR(__xludf.DUMMYFUNCTION("INT((DATE(INDEX(SPLIT(B38,""/| |:""),3), INDEX(SPLIT(B38,""/| |:""),2), INDEX(SPLIT(B38,""/| |:""),1)) + TIME(INDEX(SPLIT(B38,""/| |:""),4), INDEX(SPLIT(B38,""/| |:""),5), INDEX(SPLIT(B38,""/| |:""),6)) - DATE(1970,1,1)) * 86400)"),1.701452816E9)</f>
        <v>1701452816</v>
      </c>
      <c r="G38" s="3">
        <f>IFERROR(__xludf.DUMMYFUNCTION("INT((DATE(INDEX(SPLIT(C38,""/| |:""),3), INDEX(SPLIT(C38,""/| |:""),2), INDEX(SPLIT(C38,""/| |:""),1)) + TIME(INDEX(SPLIT(C38,""/| |:""),4), INDEX(SPLIT(C38,""/| |:""),5), INDEX(SPLIT(C38,""/| |:""),6)) - DATE(1970,1,1)) * 86400)"),1.714412816E9)</f>
        <v>1714412816</v>
      </c>
    </row>
    <row r="39">
      <c r="A39" s="1" t="s">
        <v>465</v>
      </c>
      <c r="B39" s="5">
        <v>45119.660162037035</v>
      </c>
      <c r="C39" s="7">
        <v>45417.660162037035</v>
      </c>
      <c r="D39" s="1" t="s">
        <v>604</v>
      </c>
      <c r="F39" s="3">
        <f>IFERROR(__xludf.DUMMYFUNCTION("INT((DATE(INDEX(SPLIT(B39,""/| |:""),3), INDEX(SPLIT(B39,""/| |:""),2), INDEX(SPLIT(B39,""/| |:""),1)) + TIME(INDEX(SPLIT(B39,""/| |:""),4), INDEX(SPLIT(B39,""/| |:""),5), INDEX(SPLIT(B39,""/| |:""),6)) - DATE(1970,1,1)) * 86400)"),1.701964238E9)</f>
        <v>1701964238</v>
      </c>
      <c r="G39" s="3">
        <f>IFERROR(__xludf.DUMMYFUNCTION("INT((DATE(INDEX(SPLIT(C39,""/| |:""),3), INDEX(SPLIT(C39,""/| |:""),2), INDEX(SPLIT(C39,""/| |:""),1)) + TIME(INDEX(SPLIT(C39,""/| |:""),4), INDEX(SPLIT(C39,""/| |:""),5), INDEX(SPLIT(C39,""/| |:""),6)) - DATE(1970,1,1)) * 86400)"),1.714924238E9)</f>
        <v>1714924238</v>
      </c>
    </row>
    <row r="40">
      <c r="A40" s="1" t="s">
        <v>465</v>
      </c>
      <c r="B40" s="5">
        <v>45181.77045138889</v>
      </c>
      <c r="C40" s="7">
        <v>45478.77045138889</v>
      </c>
      <c r="D40" s="1" t="s">
        <v>605</v>
      </c>
      <c r="F40" s="3">
        <f>IFERROR(__xludf.DUMMYFUNCTION("INT((DATE(INDEX(SPLIT(B40,""/| |:""),3), INDEX(SPLIT(B40,""/| |:""),2), INDEX(SPLIT(B40,""/| |:""),1)) + TIME(INDEX(SPLIT(B40,""/| |:""),4), INDEX(SPLIT(B40,""/| |:""),5), INDEX(SPLIT(B40,""/| |:""),6)) - DATE(1970,1,1)) * 86400)"),1.702146567E9)</f>
        <v>1702146567</v>
      </c>
      <c r="G40" s="3">
        <f>IFERROR(__xludf.DUMMYFUNCTION("INT((DATE(INDEX(SPLIT(C40,""/| |:""),3), INDEX(SPLIT(C40,""/| |:""),2), INDEX(SPLIT(C40,""/| |:""),1)) + TIME(INDEX(SPLIT(C40,""/| |:""),4), INDEX(SPLIT(C40,""/| |:""),5), INDEX(SPLIT(C40,""/| |:""),6)) - DATE(1970,1,1)) * 86400)"),1.715106567E9)</f>
        <v>1715106567</v>
      </c>
    </row>
    <row r="41">
      <c r="A41" s="1" t="s">
        <v>466</v>
      </c>
      <c r="B41" s="5">
        <v>45242.58679398148</v>
      </c>
      <c r="C41" s="7">
        <v>45540.58679398148</v>
      </c>
      <c r="D41" s="1" t="s">
        <v>606</v>
      </c>
      <c r="F41" s="3">
        <f>IFERROR(__xludf.DUMMYFUNCTION("INT((DATE(INDEX(SPLIT(B41,""/| |:""),3), INDEX(SPLIT(B41,""/| |:""),2), INDEX(SPLIT(B41,""/| |:""),1)) + TIME(INDEX(SPLIT(B41,""/| |:""),4), INDEX(SPLIT(B41,""/| |:""),5), INDEX(SPLIT(B41,""/| |:""),6)) - DATE(1970,1,1)) * 86400)"),1.702303499E9)</f>
        <v>1702303499</v>
      </c>
      <c r="G41" s="3">
        <f>IFERROR(__xludf.DUMMYFUNCTION("INT((DATE(INDEX(SPLIT(C41,""/| |:""),3), INDEX(SPLIT(C41,""/| |:""),2), INDEX(SPLIT(C41,""/| |:""),1)) + TIME(INDEX(SPLIT(C41,""/| |:""),4), INDEX(SPLIT(C41,""/| |:""),5), INDEX(SPLIT(C41,""/| |:""),6)) - DATE(1970,1,1)) * 86400)"),1.715263499E9)</f>
        <v>1715263499</v>
      </c>
    </row>
    <row r="42">
      <c r="A42" s="1" t="s">
        <v>467</v>
      </c>
      <c r="B42" s="5">
        <v>45242.64056712963</v>
      </c>
      <c r="C42" s="7">
        <v>45540.64056712963</v>
      </c>
      <c r="D42" s="1" t="s">
        <v>607</v>
      </c>
      <c r="F42" s="3">
        <f>IFERROR(__xludf.DUMMYFUNCTION("INT((DATE(INDEX(SPLIT(B42,""/| |:""),3), INDEX(SPLIT(B42,""/| |:""),2), INDEX(SPLIT(B42,""/| |:""),1)) + TIME(INDEX(SPLIT(B42,""/| |:""),4), INDEX(SPLIT(B42,""/| |:""),5), INDEX(SPLIT(B42,""/| |:""),6)) - DATE(1970,1,1)) * 86400)"),1.702308145E9)</f>
        <v>1702308145</v>
      </c>
      <c r="G42" s="3">
        <f>IFERROR(__xludf.DUMMYFUNCTION("INT((DATE(INDEX(SPLIT(C42,""/| |:""),3), INDEX(SPLIT(C42,""/| |:""),2), INDEX(SPLIT(C42,""/| |:""),1)) + TIME(INDEX(SPLIT(C42,""/| |:""),4), INDEX(SPLIT(C42,""/| |:""),5), INDEX(SPLIT(C42,""/| |:""),6)) - DATE(1970,1,1)) * 86400)"),1.715268145E9)</f>
        <v>1715268145</v>
      </c>
    </row>
    <row r="43">
      <c r="A43" s="1" t="s">
        <v>468</v>
      </c>
      <c r="B43" s="5" t="s">
        <v>608</v>
      </c>
      <c r="C43" s="1" t="s">
        <v>609</v>
      </c>
      <c r="D43" s="1" t="s">
        <v>610</v>
      </c>
      <c r="F43" s="3">
        <f>IFERROR(__xludf.DUMMYFUNCTION("INT((DATE(INDEX(SPLIT(B43,""/| |:""),3), INDEX(SPLIT(B43,""/| |:""),2), INDEX(SPLIT(B43,""/| |:""),1)) + TIME(INDEX(SPLIT(B43,""/| |:""),4), INDEX(SPLIT(B43,""/| |:""),5), INDEX(SPLIT(B43,""/| |:""),6)) - DATE(1970,1,1)) * 86400)"),1.703185774E9)</f>
        <v>1703185774</v>
      </c>
      <c r="G43" s="3">
        <f>IFERROR(__xludf.DUMMYFUNCTION("INT((DATE(INDEX(SPLIT(C43,""/| |:""),3), INDEX(SPLIT(C43,""/| |:""),2), INDEX(SPLIT(C43,""/| |:""),1)) + TIME(INDEX(SPLIT(C43,""/| |:""),4), INDEX(SPLIT(C43,""/| |:""),5), INDEX(SPLIT(C43,""/| |:""),6)) - DATE(1970,1,1)) * 86400)"),1.716145774E9)</f>
        <v>1716145774</v>
      </c>
    </row>
    <row r="44">
      <c r="A44" s="1" t="s">
        <v>24</v>
      </c>
      <c r="B44" s="5" t="s">
        <v>611</v>
      </c>
      <c r="C44" s="1" t="s">
        <v>612</v>
      </c>
      <c r="D44" s="1" t="s">
        <v>613</v>
      </c>
      <c r="F44" s="3">
        <f>IFERROR(__xludf.DUMMYFUNCTION("INT((DATE(INDEX(SPLIT(B44,""/| |:""),3), INDEX(SPLIT(B44,""/| |:""),2), INDEX(SPLIT(B44,""/| |:""),1)) + TIME(INDEX(SPLIT(B44,""/| |:""),4), INDEX(SPLIT(B44,""/| |:""),5), INDEX(SPLIT(B44,""/| |:""),6)) - DATE(1970,1,1)) * 86400)"),1.716108481E9)</f>
        <v>1716108481</v>
      </c>
      <c r="G44" s="3">
        <f>IFERROR(__xludf.DUMMYFUNCTION("INT((DATE(INDEX(SPLIT(C44,""/| |:""),3), INDEX(SPLIT(C44,""/| |:""),2), INDEX(SPLIT(C44,""/| |:""),1)) + TIME(INDEX(SPLIT(C44,""/| |:""),4), INDEX(SPLIT(C44,""/| |:""),5), INDEX(SPLIT(C44,""/| |:""),6)) - DATE(1970,1,1)) * 86400)"),1.731660481E9)</f>
        <v>1731660481</v>
      </c>
    </row>
    <row r="45">
      <c r="A45" s="1" t="s">
        <v>469</v>
      </c>
      <c r="B45" s="5" t="s">
        <v>614</v>
      </c>
      <c r="C45" s="1" t="s">
        <v>615</v>
      </c>
      <c r="D45" s="1" t="s">
        <v>616</v>
      </c>
      <c r="F45" s="3">
        <f>IFERROR(__xludf.DUMMYFUNCTION("INT((DATE(INDEX(SPLIT(B45,""/| |:""),3), INDEX(SPLIT(B45,""/| |:""),2), INDEX(SPLIT(B45,""/| |:""),1)) + TIME(INDEX(SPLIT(B45,""/| |:""),4), INDEX(SPLIT(B45,""/| |:""),5), INDEX(SPLIT(B45,""/| |:""),6)) - DATE(1970,1,1)) * 86400)"),1.704046198E9)</f>
        <v>1704046198</v>
      </c>
      <c r="G45" s="3">
        <f>IFERROR(__xludf.DUMMYFUNCTION("INT((DATE(INDEX(SPLIT(C45,""/| |:""),3), INDEX(SPLIT(C45,""/| |:""),2), INDEX(SPLIT(C45,""/| |:""),1)) + TIME(INDEX(SPLIT(C45,""/| |:""),4), INDEX(SPLIT(C45,""/| |:""),5), INDEX(SPLIT(C45,""/| |:""),6)) - DATE(1970,1,1)) * 86400)"),1.717006198E9)</f>
        <v>1717006198</v>
      </c>
    </row>
    <row r="46">
      <c r="A46" s="1" t="s">
        <v>470</v>
      </c>
      <c r="B46" s="5" t="s">
        <v>617</v>
      </c>
      <c r="C46" s="1" t="s">
        <v>618</v>
      </c>
      <c r="D46" s="1" t="s">
        <v>619</v>
      </c>
      <c r="F46" s="3">
        <f>IFERROR(__xludf.DUMMYFUNCTION("INT((DATE(INDEX(SPLIT(B46,""/| |:""),3), INDEX(SPLIT(B46,""/| |:""),2), INDEX(SPLIT(B46,""/| |:""),1)) + TIME(INDEX(SPLIT(B46,""/| |:""),4), INDEX(SPLIT(B46,""/| |:""),5), INDEX(SPLIT(B46,""/| |:""),6)) - DATE(1970,1,1)) * 86400)"),1.704062418E9)</f>
        <v>1704062418</v>
      </c>
      <c r="G46" s="3">
        <f>IFERROR(__xludf.DUMMYFUNCTION("INT((DATE(INDEX(SPLIT(C46,""/| |:""),3), INDEX(SPLIT(C46,""/| |:""),2), INDEX(SPLIT(C46,""/| |:""),1)) + TIME(INDEX(SPLIT(C46,""/| |:""),4), INDEX(SPLIT(C46,""/| |:""),5), INDEX(SPLIT(C46,""/| |:""),6)) - DATE(1970,1,1)) * 86400)"),1.717022418E9)</f>
        <v>1717022418</v>
      </c>
    </row>
    <row r="47">
      <c r="A47" s="1" t="s">
        <v>34</v>
      </c>
      <c r="B47" s="5">
        <v>45416.65539351852</v>
      </c>
      <c r="C47" s="7">
        <v>45331.65539351852</v>
      </c>
      <c r="D47" s="1" t="s">
        <v>620</v>
      </c>
      <c r="F47" s="3">
        <f>IFERROR(__xludf.DUMMYFUNCTION("INT((DATE(INDEX(SPLIT(B47,""/| |:""),3), INDEX(SPLIT(B47,""/| |:""),2), INDEX(SPLIT(B47,""/| |:""),1)) + TIME(INDEX(SPLIT(B47,""/| |:""),4), INDEX(SPLIT(B47,""/| |:""),5), INDEX(SPLIT(B47,""/| |:""),6)) - DATE(1970,1,1)) * 86400)"),1.712331826E9)</f>
        <v>1712331826</v>
      </c>
      <c r="G47" s="3">
        <f>IFERROR(__xludf.DUMMYFUNCTION("INT((DATE(INDEX(SPLIT(C47,""/| |:""),3), INDEX(SPLIT(C47,""/| |:""),2), INDEX(SPLIT(C47,""/| |:""),1)) + TIME(INDEX(SPLIT(C47,""/| |:""),4), INDEX(SPLIT(C47,""/| |:""),5), INDEX(SPLIT(C47,""/| |:""),6)) - DATE(1970,1,1)) * 86400)"),1.725291826E9)</f>
        <v>1725291826</v>
      </c>
    </row>
    <row r="48">
      <c r="A48" s="1" t="s">
        <v>31</v>
      </c>
      <c r="B48" s="5" t="s">
        <v>621</v>
      </c>
      <c r="C48" s="1" t="s">
        <v>622</v>
      </c>
      <c r="D48" s="1" t="s">
        <v>623</v>
      </c>
      <c r="F48" s="3">
        <f>IFERROR(__xludf.DUMMYFUNCTION("INT((DATE(INDEX(SPLIT(B48,""/| |:""),3), INDEX(SPLIT(B48,""/| |:""),2), INDEX(SPLIT(B48,""/| |:""),1)) + TIME(INDEX(SPLIT(B48,""/| |:""),4), INDEX(SPLIT(B48,""/| |:""),5), INDEX(SPLIT(B48,""/| |:""),6)) - DATE(1970,1,1)) * 86400)"),1.713720083E9)</f>
        <v>1713720083</v>
      </c>
      <c r="G48" s="3">
        <f>IFERROR(__xludf.DUMMYFUNCTION("INT((DATE(INDEX(SPLIT(C48,""/| |:""),3), INDEX(SPLIT(C48,""/| |:""),2), INDEX(SPLIT(C48,""/| |:""),1)) + TIME(INDEX(SPLIT(C48,""/| |:""),4), INDEX(SPLIT(C48,""/| |:""),5), INDEX(SPLIT(C48,""/| |:""),6)) - DATE(1970,1,1)) * 86400)"),1.726680083E9)</f>
        <v>1726680083</v>
      </c>
    </row>
    <row r="49">
      <c r="A49" s="1" t="s">
        <v>32</v>
      </c>
      <c r="B49" s="5">
        <v>45508.53575231481</v>
      </c>
      <c r="C49" s="7">
        <v>45421.53575231481</v>
      </c>
      <c r="D49" s="1" t="s">
        <v>623</v>
      </c>
      <c r="F49" s="3">
        <f>IFERROR(__xludf.DUMMYFUNCTION("INT((DATE(INDEX(SPLIT(B49,""/| |:""),3), INDEX(SPLIT(B49,""/| |:""),2), INDEX(SPLIT(B49,""/| |:""),1)) + TIME(INDEX(SPLIT(B49,""/| |:""),4), INDEX(SPLIT(B49,""/| |:""),5), INDEX(SPLIT(B49,""/| |:""),6)) - DATE(1970,1,1)) * 86400)"),1.712580689E9)</f>
        <v>1712580689</v>
      </c>
      <c r="G49" s="3">
        <f>IFERROR(__xludf.DUMMYFUNCTION("INT((DATE(INDEX(SPLIT(C49,""/| |:""),3), INDEX(SPLIT(C49,""/| |:""),2), INDEX(SPLIT(C49,""/| |:""),1)) + TIME(INDEX(SPLIT(C49,""/| |:""),4), INDEX(SPLIT(C49,""/| |:""),5), INDEX(SPLIT(C49,""/| |:""),6)) - DATE(1970,1,1)) * 86400)"),1.725540689E9)</f>
        <v>1725540689</v>
      </c>
    </row>
    <row r="50">
      <c r="A50" s="1" t="s">
        <v>33</v>
      </c>
      <c r="B50" s="5">
        <v>45508.53320601852</v>
      </c>
      <c r="C50" s="7">
        <v>45421.53320601852</v>
      </c>
      <c r="D50" s="1" t="s">
        <v>623</v>
      </c>
      <c r="F50" s="3">
        <f>IFERROR(__xludf.DUMMYFUNCTION("INT((DATE(INDEX(SPLIT(B50,""/| |:""),3), INDEX(SPLIT(B50,""/| |:""),2), INDEX(SPLIT(B50,""/| |:""),1)) + TIME(INDEX(SPLIT(B50,""/| |:""),4), INDEX(SPLIT(B50,""/| |:""),5), INDEX(SPLIT(B50,""/| |:""),6)) - DATE(1970,1,1)) * 86400)"),1.712580469E9)</f>
        <v>1712580469</v>
      </c>
      <c r="G50" s="3">
        <f>IFERROR(__xludf.DUMMYFUNCTION("INT((DATE(INDEX(SPLIT(C50,""/| |:""),3), INDEX(SPLIT(C50,""/| |:""),2), INDEX(SPLIT(C50,""/| |:""),1)) + TIME(INDEX(SPLIT(C50,""/| |:""),4), INDEX(SPLIT(C50,""/| |:""),5), INDEX(SPLIT(C50,""/| |:""),6)) - DATE(1970,1,1)) * 86400)"),1.725540469E9)</f>
        <v>1725540469</v>
      </c>
    </row>
    <row r="51">
      <c r="A51" s="1" t="s">
        <v>71</v>
      </c>
      <c r="B51" s="5" t="s">
        <v>624</v>
      </c>
      <c r="C51" s="1" t="s">
        <v>625</v>
      </c>
      <c r="D51" s="1" t="s">
        <v>626</v>
      </c>
      <c r="F51" s="3">
        <f>IFERROR(__xludf.DUMMYFUNCTION("INT((DATE(INDEX(SPLIT(B51,""/| |:""),3), INDEX(SPLIT(B51,""/| |:""),2), INDEX(SPLIT(B51,""/| |:""),1)) + TIME(INDEX(SPLIT(B51,""/| |:""),4), INDEX(SPLIT(B51,""/| |:""),5), INDEX(SPLIT(B51,""/| |:""),6)) - DATE(1970,1,1)) * 86400)"),1.713734018E9)</f>
        <v>1713734018</v>
      </c>
      <c r="G51" s="3">
        <f>IFERROR(__xludf.DUMMYFUNCTION("INT((DATE(INDEX(SPLIT(C51,""/| |:""),3), INDEX(SPLIT(C51,""/| |:""),2), INDEX(SPLIT(C51,""/| |:""),1)) + TIME(INDEX(SPLIT(C51,""/| |:""),4), INDEX(SPLIT(C51,""/| |:""),5), INDEX(SPLIT(C51,""/| |:""),6)) - DATE(1970,1,1)) * 86400)"),1.744838018E9)</f>
        <v>1744838018</v>
      </c>
    </row>
    <row r="52">
      <c r="A52" s="1" t="s">
        <v>70</v>
      </c>
      <c r="B52" s="5" t="s">
        <v>627</v>
      </c>
      <c r="C52" s="1" t="s">
        <v>628</v>
      </c>
      <c r="D52" s="1" t="s">
        <v>629</v>
      </c>
      <c r="F52" s="3">
        <f>IFERROR(__xludf.DUMMYFUNCTION("INT((DATE(INDEX(SPLIT(B52,""/| |:""),3), INDEX(SPLIT(B52,""/| |:""),2), INDEX(SPLIT(B52,""/| |:""),1)) + TIME(INDEX(SPLIT(B52,""/| |:""),4), INDEX(SPLIT(B52,""/| |:""),5), INDEX(SPLIT(B52,""/| |:""),6)) - DATE(1970,1,1)) * 86400)"),1.713734965E9)</f>
        <v>1713734965</v>
      </c>
      <c r="G52" s="3">
        <f>IFERROR(__xludf.DUMMYFUNCTION("INT((DATE(INDEX(SPLIT(C52,""/| |:""),3), INDEX(SPLIT(C52,""/| |:""),2), INDEX(SPLIT(C52,""/| |:""),1)) + TIME(INDEX(SPLIT(C52,""/| |:""),4), INDEX(SPLIT(C52,""/| |:""),5), INDEX(SPLIT(C52,""/| |:""),6)) - DATE(1970,1,1)) * 86400)"),1.744838965E9)</f>
        <v>1744838965</v>
      </c>
    </row>
    <row r="53">
      <c r="A53" s="1" t="s">
        <v>69</v>
      </c>
      <c r="B53" s="5" t="s">
        <v>630</v>
      </c>
      <c r="C53" s="1" t="s">
        <v>631</v>
      </c>
      <c r="D53" s="1" t="s">
        <v>632</v>
      </c>
      <c r="F53" s="3">
        <f>IFERROR(__xludf.DUMMYFUNCTION("INT((DATE(INDEX(SPLIT(B53,""/| |:""),3), INDEX(SPLIT(B53,""/| |:""),2), INDEX(SPLIT(B53,""/| |:""),1)) + TIME(INDEX(SPLIT(B53,""/| |:""),4), INDEX(SPLIT(B53,""/| |:""),5), INDEX(SPLIT(B53,""/| |:""),6)) - DATE(1970,1,1)) * 86400)"),1.713735448E9)</f>
        <v>1713735448</v>
      </c>
      <c r="G53" s="3">
        <f>IFERROR(__xludf.DUMMYFUNCTION("INT((DATE(INDEX(SPLIT(C53,""/| |:""),3), INDEX(SPLIT(C53,""/| |:""),2), INDEX(SPLIT(C53,""/| |:""),1)) + TIME(INDEX(SPLIT(C53,""/| |:""),4), INDEX(SPLIT(C53,""/| |:""),5), INDEX(SPLIT(C53,""/| |:""),6)) - DATE(1970,1,1)) * 86400)"),1.744839448E9)</f>
        <v>1744839448</v>
      </c>
    </row>
    <row r="54">
      <c r="A54" s="1" t="s">
        <v>68</v>
      </c>
      <c r="B54" s="5" t="s">
        <v>633</v>
      </c>
      <c r="C54" s="1" t="s">
        <v>634</v>
      </c>
      <c r="D54" s="1" t="s">
        <v>635</v>
      </c>
      <c r="F54" s="3">
        <f>IFERROR(__xludf.DUMMYFUNCTION("INT((DATE(INDEX(SPLIT(B54,""/| |:""),3), INDEX(SPLIT(B54,""/| |:""),2), INDEX(SPLIT(B54,""/| |:""),1)) + TIME(INDEX(SPLIT(B54,""/| |:""),4), INDEX(SPLIT(B54,""/| |:""),5), INDEX(SPLIT(B54,""/| |:""),6)) - DATE(1970,1,1)) * 86400)"),1.71373927E9)</f>
        <v>1713739270</v>
      </c>
      <c r="G54" s="3">
        <f>IFERROR(__xludf.DUMMYFUNCTION("INT((DATE(INDEX(SPLIT(C54,""/| |:""),3), INDEX(SPLIT(C54,""/| |:""),2), INDEX(SPLIT(C54,""/| |:""),1)) + TIME(INDEX(SPLIT(C54,""/| |:""),4), INDEX(SPLIT(C54,""/| |:""),5), INDEX(SPLIT(C54,""/| |:""),6)) - DATE(1970,1,1)) * 86400)"),1.74484327E9)</f>
        <v>1744843270</v>
      </c>
    </row>
    <row r="55">
      <c r="A55" s="1" t="s">
        <v>67</v>
      </c>
      <c r="B55" s="5" t="s">
        <v>636</v>
      </c>
      <c r="C55" s="1" t="s">
        <v>637</v>
      </c>
      <c r="D55" s="1" t="s">
        <v>638</v>
      </c>
      <c r="F55" s="3">
        <f>IFERROR(__xludf.DUMMYFUNCTION("INT((DATE(INDEX(SPLIT(B55,""/| |:""),3), INDEX(SPLIT(B55,""/| |:""),2), INDEX(SPLIT(B55,""/| |:""),1)) + TIME(INDEX(SPLIT(B55,""/| |:""),4), INDEX(SPLIT(B55,""/| |:""),5), INDEX(SPLIT(B55,""/| |:""),6)) - DATE(1970,1,1)) * 86400)"),1.713908917E9)</f>
        <v>1713908917</v>
      </c>
      <c r="G55" s="3">
        <f>IFERROR(__xludf.DUMMYFUNCTION("INT((DATE(INDEX(SPLIT(C55,""/| |:""),3), INDEX(SPLIT(C55,""/| |:""),2), INDEX(SPLIT(C55,""/| |:""),1)) + TIME(INDEX(SPLIT(C55,""/| |:""),4), INDEX(SPLIT(C55,""/| |:""),5), INDEX(SPLIT(C55,""/| |:""),6)) - DATE(1970,1,1)) * 86400)"),1.745012917E9)</f>
        <v>1745012917</v>
      </c>
    </row>
    <row r="56">
      <c r="A56" s="1" t="s">
        <v>66</v>
      </c>
      <c r="B56" s="5" t="s">
        <v>639</v>
      </c>
      <c r="C56" s="1" t="s">
        <v>640</v>
      </c>
      <c r="D56" s="1" t="s">
        <v>641</v>
      </c>
      <c r="F56" s="3">
        <f>IFERROR(__xludf.DUMMYFUNCTION("INT((DATE(INDEX(SPLIT(B56,""/| |:""),3), INDEX(SPLIT(B56,""/| |:""),2), INDEX(SPLIT(B56,""/| |:""),1)) + TIME(INDEX(SPLIT(B56,""/| |:""),4), INDEX(SPLIT(B56,""/| |:""),5), INDEX(SPLIT(B56,""/| |:""),6)) - DATE(1970,1,1)) * 86400)"),1.713974001E9)</f>
        <v>1713974001</v>
      </c>
      <c r="G56" s="3">
        <f>IFERROR(__xludf.DUMMYFUNCTION("INT((DATE(INDEX(SPLIT(C56,""/| |:""),3), INDEX(SPLIT(C56,""/| |:""),2), INDEX(SPLIT(C56,""/| |:""),1)) + TIME(INDEX(SPLIT(C56,""/| |:""),4), INDEX(SPLIT(C56,""/| |:""),5), INDEX(SPLIT(C56,""/| |:""),6)) - DATE(1970,1,1)) * 86400)"),1.745078001E9)</f>
        <v>1745078001</v>
      </c>
    </row>
    <row r="57">
      <c r="A57" s="1" t="s">
        <v>65</v>
      </c>
      <c r="B57" s="5" t="s">
        <v>642</v>
      </c>
      <c r="C57" s="1" t="s">
        <v>643</v>
      </c>
      <c r="D57" s="1" t="s">
        <v>644</v>
      </c>
      <c r="F57" s="3">
        <f>IFERROR(__xludf.DUMMYFUNCTION("INT((DATE(INDEX(SPLIT(B57,""/| |:""),3), INDEX(SPLIT(B57,""/| |:""),2), INDEX(SPLIT(B57,""/| |:""),1)) + TIME(INDEX(SPLIT(B57,""/| |:""),4), INDEX(SPLIT(B57,""/| |:""),5), INDEX(SPLIT(B57,""/| |:""),6)) - DATE(1970,1,1)) * 86400)"),1.71404047E9)</f>
        <v>1714040470</v>
      </c>
      <c r="G57" s="3">
        <f>IFERROR(__xludf.DUMMYFUNCTION("INT((DATE(INDEX(SPLIT(C57,""/| |:""),3), INDEX(SPLIT(C57,""/| |:""),2), INDEX(SPLIT(C57,""/| |:""),1)) + TIME(INDEX(SPLIT(C57,""/| |:""),4), INDEX(SPLIT(C57,""/| |:""),5), INDEX(SPLIT(C57,""/| |:""),6)) - DATE(1970,1,1)) * 86400)"),1.74514447E9)</f>
        <v>1745144470</v>
      </c>
    </row>
    <row r="58">
      <c r="A58" s="1" t="s">
        <v>64</v>
      </c>
      <c r="B58" s="5" t="s">
        <v>645</v>
      </c>
      <c r="C58" s="1" t="s">
        <v>646</v>
      </c>
      <c r="D58" s="1" t="s">
        <v>647</v>
      </c>
      <c r="F58" s="3">
        <f>IFERROR(__xludf.DUMMYFUNCTION("INT((DATE(INDEX(SPLIT(B58,""/| |:""),3), INDEX(SPLIT(B58,""/| |:""),2), INDEX(SPLIT(B58,""/| |:""),1)) + TIME(INDEX(SPLIT(B58,""/| |:""),4), INDEX(SPLIT(B58,""/| |:""),5), INDEX(SPLIT(B58,""/| |:""),6)) - DATE(1970,1,1)) * 86400)"),1.714042124E9)</f>
        <v>1714042124</v>
      </c>
      <c r="G58" s="3">
        <f>IFERROR(__xludf.DUMMYFUNCTION("INT((DATE(INDEX(SPLIT(C58,""/| |:""),3), INDEX(SPLIT(C58,""/| |:""),2), INDEX(SPLIT(C58,""/| |:""),1)) + TIME(INDEX(SPLIT(C58,""/| |:""),4), INDEX(SPLIT(C58,""/| |:""),5), INDEX(SPLIT(C58,""/| |:""),6)) - DATE(1970,1,1)) * 86400)"),1.745146124E9)</f>
        <v>1745146124</v>
      </c>
    </row>
    <row r="59">
      <c r="A59" s="1" t="s">
        <v>63</v>
      </c>
      <c r="B59" s="5" t="s">
        <v>648</v>
      </c>
      <c r="C59" s="1" t="s">
        <v>649</v>
      </c>
      <c r="D59" s="1" t="s">
        <v>650</v>
      </c>
      <c r="F59" s="3">
        <f>IFERROR(__xludf.DUMMYFUNCTION("INT((DATE(INDEX(SPLIT(B59,""/| |:""),3), INDEX(SPLIT(B59,""/| |:""),2), INDEX(SPLIT(B59,""/| |:""),1)) + TIME(INDEX(SPLIT(B59,""/| |:""),4), INDEX(SPLIT(B59,""/| |:""),5), INDEX(SPLIT(B59,""/| |:""),6)) - DATE(1970,1,1)) * 86400)"),1.714044836E9)</f>
        <v>1714044836</v>
      </c>
      <c r="G59" s="3">
        <f>IFERROR(__xludf.DUMMYFUNCTION("INT((DATE(INDEX(SPLIT(C59,""/| |:""),3), INDEX(SPLIT(C59,""/| |:""),2), INDEX(SPLIT(C59,""/| |:""),1)) + TIME(INDEX(SPLIT(C59,""/| |:""),4), INDEX(SPLIT(C59,""/| |:""),5), INDEX(SPLIT(C59,""/| |:""),6)) - DATE(1970,1,1)) * 86400)"),1.745148836E9)</f>
        <v>1745148836</v>
      </c>
    </row>
    <row r="60">
      <c r="A60" s="1" t="s">
        <v>62</v>
      </c>
      <c r="B60" s="5" t="s">
        <v>651</v>
      </c>
      <c r="C60" s="1" t="s">
        <v>652</v>
      </c>
      <c r="D60" s="1" t="s">
        <v>653</v>
      </c>
      <c r="F60" s="3">
        <f>IFERROR(__xludf.DUMMYFUNCTION("INT((DATE(INDEX(SPLIT(B60,""/| |:""),3), INDEX(SPLIT(B60,""/| |:""),2), INDEX(SPLIT(B60,""/| |:""),1)) + TIME(INDEX(SPLIT(B60,""/| |:""),4), INDEX(SPLIT(B60,""/| |:""),5), INDEX(SPLIT(B60,""/| |:""),6)) - DATE(1970,1,1)) * 86400)"),1.714044956E9)</f>
        <v>1714044956</v>
      </c>
      <c r="G60" s="3">
        <f>IFERROR(__xludf.DUMMYFUNCTION("INT((DATE(INDEX(SPLIT(C60,""/| |:""),3), INDEX(SPLIT(C60,""/| |:""),2), INDEX(SPLIT(C60,""/| |:""),1)) + TIME(INDEX(SPLIT(C60,""/| |:""),4), INDEX(SPLIT(C60,""/| |:""),5), INDEX(SPLIT(C60,""/| |:""),6)) - DATE(1970,1,1)) * 86400)"),1.745148956E9)</f>
        <v>1745148956</v>
      </c>
    </row>
    <row r="61">
      <c r="A61" s="1" t="s">
        <v>61</v>
      </c>
      <c r="B61" s="5" t="s">
        <v>654</v>
      </c>
      <c r="C61" s="1" t="s">
        <v>655</v>
      </c>
      <c r="D61" s="1" t="s">
        <v>656</v>
      </c>
      <c r="F61" s="3">
        <f>IFERROR(__xludf.DUMMYFUNCTION("INT((DATE(INDEX(SPLIT(B61,""/| |:""),3), INDEX(SPLIT(B61,""/| |:""),2), INDEX(SPLIT(B61,""/| |:""),1)) + TIME(INDEX(SPLIT(B61,""/| |:""),4), INDEX(SPLIT(B61,""/| |:""),5), INDEX(SPLIT(B61,""/| |:""),6)) - DATE(1970,1,1)) * 86400)"),1.714046784E9)</f>
        <v>1714046784</v>
      </c>
      <c r="G61" s="3">
        <f>IFERROR(__xludf.DUMMYFUNCTION("INT((DATE(INDEX(SPLIT(C61,""/| |:""),3), INDEX(SPLIT(C61,""/| |:""),2), INDEX(SPLIT(C61,""/| |:""),1)) + TIME(INDEX(SPLIT(C61,""/| |:""),4), INDEX(SPLIT(C61,""/| |:""),5), INDEX(SPLIT(C61,""/| |:""),6)) - DATE(1970,1,1)) * 86400)"),1.745150784E9)</f>
        <v>1745150784</v>
      </c>
    </row>
    <row r="62">
      <c r="A62" s="1" t="s">
        <v>60</v>
      </c>
      <c r="B62" s="5" t="s">
        <v>657</v>
      </c>
      <c r="C62" s="1" t="s">
        <v>658</v>
      </c>
      <c r="D62" s="1" t="s">
        <v>659</v>
      </c>
      <c r="F62" s="3">
        <f>IFERROR(__xludf.DUMMYFUNCTION("INT((DATE(INDEX(SPLIT(B62,""/| |:""),3), INDEX(SPLIT(B62,""/| |:""),2), INDEX(SPLIT(B62,""/| |:""),1)) + TIME(INDEX(SPLIT(B62,""/| |:""),4), INDEX(SPLIT(B62,""/| |:""),5), INDEX(SPLIT(B62,""/| |:""),6)) - DATE(1970,1,1)) * 86400)"),1.7140491E9)</f>
        <v>1714049100</v>
      </c>
      <c r="G62" s="3">
        <f>IFERROR(__xludf.DUMMYFUNCTION("INT((DATE(INDEX(SPLIT(C62,""/| |:""),3), INDEX(SPLIT(C62,""/| |:""),2), INDEX(SPLIT(C62,""/| |:""),1)) + TIME(INDEX(SPLIT(C62,""/| |:""),4), INDEX(SPLIT(C62,""/| |:""),5), INDEX(SPLIT(C62,""/| |:""),6)) - DATE(1970,1,1)) * 86400)"),1.7451531E9)</f>
        <v>1745153100</v>
      </c>
    </row>
    <row r="63">
      <c r="A63" s="1" t="s">
        <v>59</v>
      </c>
      <c r="B63" s="5" t="s">
        <v>660</v>
      </c>
      <c r="C63" s="1" t="s">
        <v>661</v>
      </c>
      <c r="D63" s="1" t="s">
        <v>662</v>
      </c>
      <c r="F63" s="3">
        <f>IFERROR(__xludf.DUMMYFUNCTION("INT((DATE(INDEX(SPLIT(B63,""/| |:""),3), INDEX(SPLIT(B63,""/| |:""),2), INDEX(SPLIT(B63,""/| |:""),1)) + TIME(INDEX(SPLIT(B63,""/| |:""),4), INDEX(SPLIT(B63,""/| |:""),5), INDEX(SPLIT(B63,""/| |:""),6)) - DATE(1970,1,1)) * 86400)"),1.714049967E9)</f>
        <v>1714049967</v>
      </c>
      <c r="G63" s="3">
        <f>IFERROR(__xludf.DUMMYFUNCTION("INT((DATE(INDEX(SPLIT(C63,""/| |:""),3), INDEX(SPLIT(C63,""/| |:""),2), INDEX(SPLIT(C63,""/| |:""),1)) + TIME(INDEX(SPLIT(C63,""/| |:""),4), INDEX(SPLIT(C63,""/| |:""),5), INDEX(SPLIT(C63,""/| |:""),6)) - DATE(1970,1,1)) * 86400)"),1.745153967E9)</f>
        <v>1745153967</v>
      </c>
    </row>
    <row r="64">
      <c r="A64" s="1" t="s">
        <v>58</v>
      </c>
      <c r="B64" s="5" t="s">
        <v>663</v>
      </c>
      <c r="C64" s="1" t="s">
        <v>664</v>
      </c>
      <c r="D64" s="1" t="s">
        <v>665</v>
      </c>
      <c r="F64" s="3">
        <f>IFERROR(__xludf.DUMMYFUNCTION("INT((DATE(INDEX(SPLIT(B64,""/| |:""),3), INDEX(SPLIT(B64,""/| |:""),2), INDEX(SPLIT(B64,""/| |:""),1)) + TIME(INDEX(SPLIT(B64,""/| |:""),4), INDEX(SPLIT(B64,""/| |:""),5), INDEX(SPLIT(B64,""/| |:""),6)) - DATE(1970,1,1)) * 86400)"),1.714052103E9)</f>
        <v>1714052103</v>
      </c>
      <c r="G64" s="3">
        <f>IFERROR(__xludf.DUMMYFUNCTION("INT((DATE(INDEX(SPLIT(C64,""/| |:""),3), INDEX(SPLIT(C64,""/| |:""),2), INDEX(SPLIT(C64,""/| |:""),1)) + TIME(INDEX(SPLIT(C64,""/| |:""),4), INDEX(SPLIT(C64,""/| |:""),5), INDEX(SPLIT(C64,""/| |:""),6)) - DATE(1970,1,1)) * 86400)"),1.745156103E9)</f>
        <v>1745156103</v>
      </c>
    </row>
    <row r="65">
      <c r="A65" s="1" t="s">
        <v>57</v>
      </c>
      <c r="B65" s="5" t="s">
        <v>666</v>
      </c>
      <c r="C65" s="1" t="s">
        <v>667</v>
      </c>
      <c r="D65" s="1" t="s">
        <v>668</v>
      </c>
      <c r="F65" s="3">
        <f>IFERROR(__xludf.DUMMYFUNCTION("INT((DATE(INDEX(SPLIT(B65,""/| |:""),3), INDEX(SPLIT(B65,""/| |:""),2), INDEX(SPLIT(B65,""/| |:""),1)) + TIME(INDEX(SPLIT(B65,""/| |:""),4), INDEX(SPLIT(B65,""/| |:""),5), INDEX(SPLIT(B65,""/| |:""),6)) - DATE(1970,1,1)) * 86400)"),1.714054106E9)</f>
        <v>1714054106</v>
      </c>
      <c r="G65" s="3">
        <f>IFERROR(__xludf.DUMMYFUNCTION("INT((DATE(INDEX(SPLIT(C65,""/| |:""),3), INDEX(SPLIT(C65,""/| |:""),2), INDEX(SPLIT(C65,""/| |:""),1)) + TIME(INDEX(SPLIT(C65,""/| |:""),4), INDEX(SPLIT(C65,""/| |:""),5), INDEX(SPLIT(C65,""/| |:""),6)) - DATE(1970,1,1)) * 86400)"),1.745158106E9)</f>
        <v>1745158106</v>
      </c>
    </row>
    <row r="66">
      <c r="A66" s="1" t="s">
        <v>56</v>
      </c>
      <c r="B66" s="5" t="s">
        <v>669</v>
      </c>
      <c r="C66" s="1" t="s">
        <v>670</v>
      </c>
      <c r="D66" s="1" t="s">
        <v>671</v>
      </c>
      <c r="F66" s="3">
        <f>IFERROR(__xludf.DUMMYFUNCTION("INT((DATE(INDEX(SPLIT(B66,""/| |:""),3), INDEX(SPLIT(B66,""/| |:""),2), INDEX(SPLIT(B66,""/| |:""),1)) + TIME(INDEX(SPLIT(B66,""/| |:""),4), INDEX(SPLIT(B66,""/| |:""),5), INDEX(SPLIT(B66,""/| |:""),6)) - DATE(1970,1,1)) * 86400)"),1.714061232E9)</f>
        <v>1714061232</v>
      </c>
      <c r="G66" s="3">
        <f>IFERROR(__xludf.DUMMYFUNCTION("INT((DATE(INDEX(SPLIT(C66,""/| |:""),3), INDEX(SPLIT(C66,""/| |:""),2), INDEX(SPLIT(C66,""/| |:""),1)) + TIME(INDEX(SPLIT(C66,""/| |:""),4), INDEX(SPLIT(C66,""/| |:""),5), INDEX(SPLIT(C66,""/| |:""),6)) - DATE(1970,1,1)) * 86400)"),1.745165232E9)</f>
        <v>1745165232</v>
      </c>
    </row>
    <row r="67">
      <c r="A67" s="1" t="s">
        <v>55</v>
      </c>
      <c r="B67" s="5" t="s">
        <v>672</v>
      </c>
      <c r="C67" s="1" t="s">
        <v>673</v>
      </c>
      <c r="D67" s="1" t="s">
        <v>674</v>
      </c>
      <c r="F67" s="3">
        <f>IFERROR(__xludf.DUMMYFUNCTION("INT((DATE(INDEX(SPLIT(B67,""/| |:""),3), INDEX(SPLIT(B67,""/| |:""),2), INDEX(SPLIT(B67,""/| |:""),1)) + TIME(INDEX(SPLIT(B67,""/| |:""),4), INDEX(SPLIT(B67,""/| |:""),5), INDEX(SPLIT(B67,""/| |:""),6)) - DATE(1970,1,1)) * 86400)"),1.714076516E9)</f>
        <v>1714076516</v>
      </c>
      <c r="G67" s="3">
        <f>IFERROR(__xludf.DUMMYFUNCTION("INT((DATE(INDEX(SPLIT(C67,""/| |:""),3), INDEX(SPLIT(C67,""/| |:""),2), INDEX(SPLIT(C67,""/| |:""),1)) + TIME(INDEX(SPLIT(C67,""/| |:""),4), INDEX(SPLIT(C67,""/| |:""),5), INDEX(SPLIT(C67,""/| |:""),6)) - DATE(1970,1,1)) * 86400)"),1.745180516E9)</f>
        <v>1745180516</v>
      </c>
    </row>
    <row r="68">
      <c r="A68" s="1" t="s">
        <v>54</v>
      </c>
      <c r="B68" s="5" t="s">
        <v>675</v>
      </c>
      <c r="C68" s="1" t="s">
        <v>676</v>
      </c>
      <c r="D68" s="1" t="s">
        <v>677</v>
      </c>
      <c r="F68" s="3">
        <f>IFERROR(__xludf.DUMMYFUNCTION("INT((DATE(INDEX(SPLIT(B68,""/| |:""),3), INDEX(SPLIT(B68,""/| |:""),2), INDEX(SPLIT(B68,""/| |:""),1)) + TIME(INDEX(SPLIT(B68,""/| |:""),4), INDEX(SPLIT(B68,""/| |:""),5), INDEX(SPLIT(B68,""/| |:""),6)) - DATE(1970,1,1)) * 86400)"),1.714080417E9)</f>
        <v>1714080417</v>
      </c>
      <c r="G68" s="3">
        <f>IFERROR(__xludf.DUMMYFUNCTION("INT((DATE(INDEX(SPLIT(C68,""/| |:""),3), INDEX(SPLIT(C68,""/| |:""),2), INDEX(SPLIT(C68,""/| |:""),1)) + TIME(INDEX(SPLIT(C68,""/| |:""),4), INDEX(SPLIT(C68,""/| |:""),5), INDEX(SPLIT(C68,""/| |:""),6)) - DATE(1970,1,1)) * 86400)"),1.745184417E9)</f>
        <v>1745184417</v>
      </c>
    </row>
    <row r="69">
      <c r="A69" s="1" t="s">
        <v>53</v>
      </c>
      <c r="B69" s="5" t="s">
        <v>678</v>
      </c>
      <c r="C69" s="1" t="s">
        <v>679</v>
      </c>
      <c r="D69" s="1" t="s">
        <v>680</v>
      </c>
      <c r="F69" s="3">
        <f>IFERROR(__xludf.DUMMYFUNCTION("INT((DATE(INDEX(SPLIT(B69,""/| |:""),3), INDEX(SPLIT(B69,""/| |:""),2), INDEX(SPLIT(B69,""/| |:""),1)) + TIME(INDEX(SPLIT(B69,""/| |:""),4), INDEX(SPLIT(B69,""/| |:""),5), INDEX(SPLIT(B69,""/| |:""),6)) - DATE(1970,1,1)) * 86400)"),1.714087258E9)</f>
        <v>1714087258</v>
      </c>
      <c r="G69" s="3">
        <f>IFERROR(__xludf.DUMMYFUNCTION("INT((DATE(INDEX(SPLIT(C69,""/| |:""),3), INDEX(SPLIT(C69,""/| |:""),2), INDEX(SPLIT(C69,""/| |:""),1)) + TIME(INDEX(SPLIT(C69,""/| |:""),4), INDEX(SPLIT(C69,""/| |:""),5), INDEX(SPLIT(C69,""/| |:""),6)) - DATE(1970,1,1)) * 86400)"),1.745191258E9)</f>
        <v>1745191258</v>
      </c>
    </row>
    <row r="70">
      <c r="A70" s="1" t="s">
        <v>52</v>
      </c>
      <c r="B70" s="5" t="s">
        <v>681</v>
      </c>
      <c r="C70" s="1" t="s">
        <v>682</v>
      </c>
      <c r="D70" s="1" t="s">
        <v>683</v>
      </c>
      <c r="F70" s="3">
        <f>IFERROR(__xludf.DUMMYFUNCTION("INT((DATE(INDEX(SPLIT(B70,""/| |:""),3), INDEX(SPLIT(B70,""/| |:""),2), INDEX(SPLIT(B70,""/| |:""),1)) + TIME(INDEX(SPLIT(B70,""/| |:""),4), INDEX(SPLIT(B70,""/| |:""),5), INDEX(SPLIT(B70,""/| |:""),6)) - DATE(1970,1,1)) * 86400)"),1.714088349E9)</f>
        <v>1714088349</v>
      </c>
      <c r="G70" s="3">
        <f>IFERROR(__xludf.DUMMYFUNCTION("INT((DATE(INDEX(SPLIT(C70,""/| |:""),3), INDEX(SPLIT(C70,""/| |:""),2), INDEX(SPLIT(C70,""/| |:""),1)) + TIME(INDEX(SPLIT(C70,""/| |:""),4), INDEX(SPLIT(C70,""/| |:""),5), INDEX(SPLIT(C70,""/| |:""),6)) - DATE(1970,1,1)) * 86400)"),1.745192349E9)</f>
        <v>1745192349</v>
      </c>
    </row>
    <row r="71">
      <c r="A71" s="1" t="s">
        <v>51</v>
      </c>
      <c r="B71" s="5" t="s">
        <v>684</v>
      </c>
      <c r="C71" s="1" t="s">
        <v>685</v>
      </c>
      <c r="D71" s="1" t="s">
        <v>686</v>
      </c>
      <c r="F71" s="3">
        <f>IFERROR(__xludf.DUMMYFUNCTION("INT((DATE(INDEX(SPLIT(B71,""/| |:""),3), INDEX(SPLIT(B71,""/| |:""),2), INDEX(SPLIT(B71,""/| |:""),1)) + TIME(INDEX(SPLIT(B71,""/| |:""),4), INDEX(SPLIT(B71,""/| |:""),5), INDEX(SPLIT(B71,""/| |:""),6)) - DATE(1970,1,1)) * 86400)"),1.714123637E9)</f>
        <v>1714123637</v>
      </c>
      <c r="G71" s="3">
        <f>IFERROR(__xludf.DUMMYFUNCTION("INT((DATE(INDEX(SPLIT(C71,""/| |:""),3), INDEX(SPLIT(C71,""/| |:""),2), INDEX(SPLIT(C71,""/| |:""),1)) + TIME(INDEX(SPLIT(C71,""/| |:""),4), INDEX(SPLIT(C71,""/| |:""),5), INDEX(SPLIT(C71,""/| |:""),6)) - DATE(1970,1,1)) * 86400)"),1.745227637E9)</f>
        <v>1745227637</v>
      </c>
    </row>
    <row r="72">
      <c r="A72" s="1" t="s">
        <v>50</v>
      </c>
      <c r="B72" s="5" t="s">
        <v>687</v>
      </c>
      <c r="C72" s="1" t="s">
        <v>688</v>
      </c>
      <c r="D72" s="1" t="s">
        <v>689</v>
      </c>
      <c r="F72" s="3">
        <f>IFERROR(__xludf.DUMMYFUNCTION("INT((DATE(INDEX(SPLIT(B72,""/| |:""),3), INDEX(SPLIT(B72,""/| |:""),2), INDEX(SPLIT(B72,""/| |:""),1)) + TIME(INDEX(SPLIT(B72,""/| |:""),4), INDEX(SPLIT(B72,""/| |:""),5), INDEX(SPLIT(B72,""/| |:""),6)) - DATE(1970,1,1)) * 86400)"),1.71415024E9)</f>
        <v>1714150240</v>
      </c>
      <c r="G72" s="3">
        <f>IFERROR(__xludf.DUMMYFUNCTION("INT((DATE(INDEX(SPLIT(C72,""/| |:""),3), INDEX(SPLIT(C72,""/| |:""),2), INDEX(SPLIT(C72,""/| |:""),1)) + TIME(INDEX(SPLIT(C72,""/| |:""),4), INDEX(SPLIT(C72,""/| |:""),5), INDEX(SPLIT(C72,""/| |:""),6)) - DATE(1970,1,1)) * 86400)"),1.74525424E9)</f>
        <v>1745254240</v>
      </c>
    </row>
    <row r="73">
      <c r="A73" s="1" t="s">
        <v>49</v>
      </c>
      <c r="B73" s="5" t="s">
        <v>690</v>
      </c>
      <c r="C73" s="1" t="s">
        <v>691</v>
      </c>
      <c r="D73" s="1" t="s">
        <v>692</v>
      </c>
      <c r="F73" s="3">
        <f>IFERROR(__xludf.DUMMYFUNCTION("INT((DATE(INDEX(SPLIT(B73,""/| |:""),3), INDEX(SPLIT(B73,""/| |:""),2), INDEX(SPLIT(B73,""/| |:""),1)) + TIME(INDEX(SPLIT(B73,""/| |:""),4), INDEX(SPLIT(B73,""/| |:""),5), INDEX(SPLIT(B73,""/| |:""),6)) - DATE(1970,1,1)) * 86400)"),1.71421415E9)</f>
        <v>1714214150</v>
      </c>
      <c r="G73" s="3">
        <f>IFERROR(__xludf.DUMMYFUNCTION("INT((DATE(INDEX(SPLIT(C73,""/| |:""),3), INDEX(SPLIT(C73,""/| |:""),2), INDEX(SPLIT(C73,""/| |:""),1)) + TIME(INDEX(SPLIT(C73,""/| |:""),4), INDEX(SPLIT(C73,""/| |:""),5), INDEX(SPLIT(C73,""/| |:""),6)) - DATE(1970,1,1)) * 86400)"),1.74531815E9)</f>
        <v>1745318150</v>
      </c>
    </row>
    <row r="74">
      <c r="A74" s="1" t="s">
        <v>48</v>
      </c>
      <c r="B74" s="5" t="s">
        <v>693</v>
      </c>
      <c r="C74" s="1" t="s">
        <v>694</v>
      </c>
      <c r="D74" s="1" t="s">
        <v>695</v>
      </c>
      <c r="F74" s="3">
        <f>IFERROR(__xludf.DUMMYFUNCTION("INT((DATE(INDEX(SPLIT(B74,""/| |:""),3), INDEX(SPLIT(B74,""/| |:""),2), INDEX(SPLIT(B74,""/| |:""),1)) + TIME(INDEX(SPLIT(B74,""/| |:""),4), INDEX(SPLIT(B74,""/| |:""),5), INDEX(SPLIT(B74,""/| |:""),6)) - DATE(1970,1,1)) * 86400)"),1.714246378E9)</f>
        <v>1714246378</v>
      </c>
      <c r="G74" s="3">
        <f>IFERROR(__xludf.DUMMYFUNCTION("INT((DATE(INDEX(SPLIT(C74,""/| |:""),3), INDEX(SPLIT(C74,""/| |:""),2), INDEX(SPLIT(C74,""/| |:""),1)) + TIME(INDEX(SPLIT(C74,""/| |:""),4), INDEX(SPLIT(C74,""/| |:""),5), INDEX(SPLIT(C74,""/| |:""),6)) - DATE(1970,1,1)) * 86400)"),1.745350378E9)</f>
        <v>1745350378</v>
      </c>
    </row>
    <row r="75">
      <c r="A75" s="1" t="s">
        <v>22</v>
      </c>
      <c r="B75" s="5" t="s">
        <v>696</v>
      </c>
      <c r="C75" s="1" t="s">
        <v>697</v>
      </c>
      <c r="D75" s="1" t="s">
        <v>698</v>
      </c>
      <c r="F75" s="3">
        <f>IFERROR(__xludf.DUMMYFUNCTION("INT((DATE(INDEX(SPLIT(B75,""/| |:""),3), INDEX(SPLIT(B75,""/| |:""),2), INDEX(SPLIT(B75,""/| |:""),1)) + TIME(INDEX(SPLIT(B75,""/| |:""),4), INDEX(SPLIT(B75,""/| |:""),5), INDEX(SPLIT(B75,""/| |:""),6)) - DATE(1970,1,1)) * 86400)"),1.714468191E9)</f>
        <v>1714468191</v>
      </c>
      <c r="G75" s="3">
        <f>IFERROR(__xludf.DUMMYFUNCTION("INT((DATE(INDEX(SPLIT(C75,""/| |:""),3), INDEX(SPLIT(C75,""/| |:""),2), INDEX(SPLIT(C75,""/| |:""),1)) + TIME(INDEX(SPLIT(C75,""/| |:""),4), INDEX(SPLIT(C75,""/| |:""),5), INDEX(SPLIT(C75,""/| |:""),6)) - DATE(1970,1,1)) * 86400)"),1.745572191E9)</f>
        <v>1745572191</v>
      </c>
    </row>
    <row r="76">
      <c r="A76" s="1" t="s">
        <v>47</v>
      </c>
      <c r="B76" s="5" t="s">
        <v>699</v>
      </c>
      <c r="C76" s="1" t="s">
        <v>700</v>
      </c>
      <c r="D76" s="1" t="s">
        <v>701</v>
      </c>
      <c r="F76" s="3">
        <f>IFERROR(__xludf.DUMMYFUNCTION("INT((DATE(INDEX(SPLIT(B76,""/| |:""),3), INDEX(SPLIT(B76,""/| |:""),2), INDEX(SPLIT(B76,""/| |:""),1)) + TIME(INDEX(SPLIT(B76,""/| |:""),4), INDEX(SPLIT(B76,""/| |:""),5), INDEX(SPLIT(B76,""/| |:""),6)) - DATE(1970,1,1)) * 86400)"),1.714517712E9)</f>
        <v>1714517712</v>
      </c>
      <c r="G76" s="3">
        <f>IFERROR(__xludf.DUMMYFUNCTION("INT((DATE(INDEX(SPLIT(C76,""/| |:""),3), INDEX(SPLIT(C76,""/| |:""),2), INDEX(SPLIT(C76,""/| |:""),1)) + TIME(INDEX(SPLIT(C76,""/| |:""),4), INDEX(SPLIT(C76,""/| |:""),5), INDEX(SPLIT(C76,""/| |:""),6)) - DATE(1970,1,1)) * 86400)"),1.745621712E9)</f>
        <v>1745621712</v>
      </c>
    </row>
    <row r="77">
      <c r="A77" s="1" t="s">
        <v>46</v>
      </c>
      <c r="B77" s="5" t="s">
        <v>702</v>
      </c>
      <c r="C77" s="7">
        <v>45935.18934027778</v>
      </c>
      <c r="D77" s="1" t="s">
        <v>703</v>
      </c>
      <c r="F77" s="3">
        <f>IFERROR(__xludf.DUMMYFUNCTION("INT((DATE(INDEX(SPLIT(B77,""/| |:""),3), INDEX(SPLIT(B77,""/| |:""),2), INDEX(SPLIT(B77,""/| |:""),1)) + TIME(INDEX(SPLIT(B77,""/| |:""),4), INDEX(SPLIT(B77,""/| |:""),5), INDEX(SPLIT(B77,""/| |:""),6)) - DATE(1970,1,1)) * 86400)"),1.715747559E9)</f>
        <v>1715747559</v>
      </c>
      <c r="G77" s="3">
        <f>IFERROR(__xludf.DUMMYFUNCTION("INT((DATE(INDEX(SPLIT(C77,""/| |:""),3), INDEX(SPLIT(C77,""/| |:""),2), INDEX(SPLIT(C77,""/| |:""),1)) + TIME(INDEX(SPLIT(C77,""/| |:""),4), INDEX(SPLIT(C77,""/| |:""),5), INDEX(SPLIT(C77,""/| |:""),6)) - DATE(1970,1,1)) * 86400)"),1.746851559E9)</f>
        <v>1746851559</v>
      </c>
    </row>
    <row r="78">
      <c r="A78" s="1" t="s">
        <v>474</v>
      </c>
      <c r="B78" s="5">
        <v>45028.95216435185</v>
      </c>
      <c r="C78" s="7">
        <v>45326.95216435185</v>
      </c>
      <c r="D78" s="1" t="s">
        <v>704</v>
      </c>
      <c r="F78" s="3">
        <f>IFERROR(__xludf.DUMMYFUNCTION("INT((DATE(INDEX(SPLIT(B78,""/| |:""),3), INDEX(SPLIT(B78,""/| |:""),2), INDEX(SPLIT(B78,""/| |:""),1)) + TIME(INDEX(SPLIT(B78,""/| |:""),4), INDEX(SPLIT(B78,""/| |:""),5), INDEX(SPLIT(B78,""/| |:""),6)) - DATE(1970,1,1)) * 86400)"),1.701730267E9)</f>
        <v>1701730267</v>
      </c>
      <c r="G78" s="3">
        <f>IFERROR(__xludf.DUMMYFUNCTION("INT((DATE(INDEX(SPLIT(C78,""/| |:""),3), INDEX(SPLIT(C78,""/| |:""),2), INDEX(SPLIT(C78,""/| |:""),1)) + TIME(INDEX(SPLIT(C78,""/| |:""),4), INDEX(SPLIT(C78,""/| |:""),5), INDEX(SPLIT(C78,""/| |:""),6)) - DATE(1970,1,1)) * 86400)"),1.712098267E9)</f>
        <v>1712098267</v>
      </c>
    </row>
    <row r="79">
      <c r="A79" s="1" t="s">
        <v>472</v>
      </c>
      <c r="B79" s="5" t="s">
        <v>705</v>
      </c>
      <c r="C79" s="1" t="s">
        <v>706</v>
      </c>
      <c r="D79" s="1" t="s">
        <v>704</v>
      </c>
      <c r="F79" s="3">
        <f>IFERROR(__xludf.DUMMYFUNCTION("INT((DATE(INDEX(SPLIT(B79,""/| |:""),3), INDEX(SPLIT(B79,""/| |:""),2), INDEX(SPLIT(B79,""/| |:""),1)) + TIME(INDEX(SPLIT(B79,""/| |:""),4), INDEX(SPLIT(B79,""/| |:""),5), INDEX(SPLIT(B79,""/| |:""),6)) - DATE(1970,1,1)) * 86400)"),1.697990763E9)</f>
        <v>1697990763</v>
      </c>
      <c r="G79" s="3">
        <f>IFERROR(__xludf.DUMMYFUNCTION("INT((DATE(INDEX(SPLIT(C79,""/| |:""),3), INDEX(SPLIT(C79,""/| |:""),2), INDEX(SPLIT(C79,""/| |:""),1)) + TIME(INDEX(SPLIT(C79,""/| |:""),4), INDEX(SPLIT(C79,""/| |:""),5), INDEX(SPLIT(C79,""/| |:""),6)) - DATE(1970,1,1)) * 86400)"),1.708358763E9)</f>
        <v>1708358763</v>
      </c>
    </row>
    <row r="80">
      <c r="A80" s="1" t="s">
        <v>473</v>
      </c>
      <c r="B80" s="5" t="s">
        <v>707</v>
      </c>
      <c r="C80" s="1" t="s">
        <v>708</v>
      </c>
      <c r="D80" s="1" t="s">
        <v>704</v>
      </c>
      <c r="F80" s="3">
        <f>IFERROR(__xludf.DUMMYFUNCTION("INT((DATE(INDEX(SPLIT(B80,""/| |:""),3), INDEX(SPLIT(B80,""/| |:""),2), INDEX(SPLIT(B80,""/| |:""),1)) + TIME(INDEX(SPLIT(B80,""/| |:""),4), INDEX(SPLIT(B80,""/| |:""),5), INDEX(SPLIT(B80,""/| |:""),6)) - DATE(1970,1,1)) * 86400)"),1.697929629E9)</f>
        <v>1697929629</v>
      </c>
      <c r="G80" s="3">
        <f>IFERROR(__xludf.DUMMYFUNCTION("INT((DATE(INDEX(SPLIT(C80,""/| |:""),3), INDEX(SPLIT(C80,""/| |:""),2), INDEX(SPLIT(C80,""/| |:""),1)) + TIME(INDEX(SPLIT(C80,""/| |:""),4), INDEX(SPLIT(C80,""/| |:""),5), INDEX(SPLIT(C80,""/| |:""),6)) - DATE(1970,1,1)) * 86400)"),1.708297629E9)</f>
        <v>1708297629</v>
      </c>
    </row>
    <row r="81">
      <c r="A81" s="1" t="s">
        <v>475</v>
      </c>
      <c r="B81" s="5" t="s">
        <v>709</v>
      </c>
      <c r="C81" s="1" t="s">
        <v>710</v>
      </c>
      <c r="D81" s="1" t="s">
        <v>711</v>
      </c>
      <c r="F81" s="3">
        <f>IFERROR(__xludf.DUMMYFUNCTION("INT((DATE(INDEX(SPLIT(B81,""/| |:""),3), INDEX(SPLIT(B81,""/| |:""),2), INDEX(SPLIT(B81,""/| |:""),1)) + TIME(INDEX(SPLIT(B81,""/| |:""),4), INDEX(SPLIT(B81,""/| |:""),5), INDEX(SPLIT(B81,""/| |:""),6)) - DATE(1970,1,1)) * 86400)"),1.70316571E9)</f>
        <v>1703165710</v>
      </c>
      <c r="G81" s="3">
        <f>IFERROR(__xludf.DUMMYFUNCTION("INT((DATE(INDEX(SPLIT(C81,""/| |:""),3), INDEX(SPLIT(C81,""/| |:""),2), INDEX(SPLIT(C81,""/| |:""),1)) + TIME(INDEX(SPLIT(C81,""/| |:""),4), INDEX(SPLIT(C81,""/| |:""),5), INDEX(SPLIT(C81,""/| |:""),6)) - DATE(1970,1,1)) * 86400)"),1.71353371E9)</f>
        <v>1713533710</v>
      </c>
    </row>
    <row r="82">
      <c r="A82" s="1" t="s">
        <v>476</v>
      </c>
      <c r="B82" s="5" t="s">
        <v>712</v>
      </c>
      <c r="C82" s="1" t="s">
        <v>713</v>
      </c>
      <c r="D82" s="1" t="s">
        <v>714</v>
      </c>
      <c r="F82" s="3">
        <f>IFERROR(__xludf.DUMMYFUNCTION("INT((DATE(INDEX(SPLIT(B82,""/| |:""),3), INDEX(SPLIT(B82,""/| |:""),2), INDEX(SPLIT(B82,""/| |:""),1)) + TIME(INDEX(SPLIT(B82,""/| |:""),4), INDEX(SPLIT(B82,""/| |:""),5), INDEX(SPLIT(B82,""/| |:""),6)) - DATE(1970,1,1)) * 86400)"),1.703165841E9)</f>
        <v>1703165841</v>
      </c>
      <c r="G82" s="3">
        <f>IFERROR(__xludf.DUMMYFUNCTION("INT((DATE(INDEX(SPLIT(C82,""/| |:""),3), INDEX(SPLIT(C82,""/| |:""),2), INDEX(SPLIT(C82,""/| |:""),1)) + TIME(INDEX(SPLIT(C82,""/| |:""),4), INDEX(SPLIT(C82,""/| |:""),5), INDEX(SPLIT(C82,""/| |:""),6)) - DATE(1970,1,1)) * 86400)"),1.713533841E9)</f>
        <v>1713533841</v>
      </c>
    </row>
    <row r="83">
      <c r="A83" s="1" t="s">
        <v>471</v>
      </c>
      <c r="B83" s="5" t="s">
        <v>715</v>
      </c>
      <c r="C83" s="1" t="s">
        <v>716</v>
      </c>
      <c r="D83" s="1" t="s">
        <v>717</v>
      </c>
      <c r="F83" s="3">
        <f>IFERROR(__xludf.DUMMYFUNCTION("INT((DATE(INDEX(SPLIT(B83,""/| |:""),3), INDEX(SPLIT(B83,""/| |:""),2), INDEX(SPLIT(B83,""/| |:""),1)) + TIME(INDEX(SPLIT(B83,""/| |:""),4), INDEX(SPLIT(B83,""/| |:""),5), INDEX(SPLIT(B83,""/| |:""),6)) - DATE(1970,1,1)) * 86400)"),1.703781134E9)</f>
        <v>1703781134</v>
      </c>
      <c r="G83" s="3">
        <f>IFERROR(__xludf.DUMMYFUNCTION("INT((DATE(INDEX(SPLIT(C83,""/| |:""),3), INDEX(SPLIT(C83,""/| |:""),2), INDEX(SPLIT(C83,""/| |:""),1)) + TIME(INDEX(SPLIT(C83,""/| |:""),4), INDEX(SPLIT(C83,""/| |:""),5), INDEX(SPLIT(C83,""/| |:""),6)) - DATE(1970,1,1)) * 86400)"),1.714149134E9)</f>
        <v>1714149134</v>
      </c>
    </row>
    <row r="84">
      <c r="A84" s="1" t="s">
        <v>470</v>
      </c>
      <c r="B84" s="5" t="s">
        <v>718</v>
      </c>
      <c r="C84" s="1" t="s">
        <v>719</v>
      </c>
      <c r="D84" s="1" t="s">
        <v>720</v>
      </c>
      <c r="F84" s="3">
        <f>IFERROR(__xludf.DUMMYFUNCTION("INT((DATE(INDEX(SPLIT(B84,""/| |:""),3), INDEX(SPLIT(B84,""/| |:""),2), INDEX(SPLIT(B84,""/| |:""),1)) + TIME(INDEX(SPLIT(B84,""/| |:""),4), INDEX(SPLIT(B84,""/| |:""),5), INDEX(SPLIT(B84,""/| |:""),6)) - DATE(1970,1,1)) * 86400)"),1.703872891E9)</f>
        <v>1703872891</v>
      </c>
      <c r="G84" s="3">
        <f>IFERROR(__xludf.DUMMYFUNCTION("INT((DATE(INDEX(SPLIT(C84,""/| |:""),3), INDEX(SPLIT(C84,""/| |:""),2), INDEX(SPLIT(C84,""/| |:""),1)) + TIME(INDEX(SPLIT(C84,""/| |:""),4), INDEX(SPLIT(C84,""/| |:""),5), INDEX(SPLIT(C84,""/| |:""),6)) - DATE(1970,1,1)) * 86400)"),1.714240891E9)</f>
        <v>1714240891</v>
      </c>
    </row>
    <row r="85">
      <c r="A85" s="1" t="s">
        <v>104</v>
      </c>
      <c r="B85" s="5" t="s">
        <v>721</v>
      </c>
      <c r="C85" s="1" t="s">
        <v>722</v>
      </c>
      <c r="D85" s="1" t="s">
        <v>723</v>
      </c>
      <c r="F85" s="3">
        <f>IFERROR(__xludf.DUMMYFUNCTION("INT((DATE(INDEX(SPLIT(B85,""/| |:""),3), INDEX(SPLIT(B85,""/| |:""),2), INDEX(SPLIT(B85,""/| |:""),1)) + TIME(INDEX(SPLIT(B85,""/| |:""),4), INDEX(SPLIT(B85,""/| |:""),5), INDEX(SPLIT(B85,""/| |:""),6)) - DATE(1970,1,1)) * 86400)"),1.714299037E9)</f>
        <v>1714299037</v>
      </c>
      <c r="G85" s="3">
        <f>IFERROR(__xludf.DUMMYFUNCTION("INT((DATE(INDEX(SPLIT(C85,""/| |:""),3), INDEX(SPLIT(C85,""/| |:""),2), INDEX(SPLIT(C85,""/| |:""),1)) + TIME(INDEX(SPLIT(C85,""/| |:""),4), INDEX(SPLIT(C85,""/| |:""),5), INDEX(SPLIT(C85,""/| |:""),6)) - DATE(1970,1,1)) * 86400)"),1.735035037E9)</f>
        <v>1735035037</v>
      </c>
    </row>
    <row r="86">
      <c r="A86" s="1" t="s">
        <v>104</v>
      </c>
      <c r="B86" s="5" t="s">
        <v>724</v>
      </c>
      <c r="C86" s="1" t="s">
        <v>725</v>
      </c>
      <c r="D86" s="1" t="s">
        <v>726</v>
      </c>
      <c r="F86" s="3">
        <f>IFERROR(__xludf.DUMMYFUNCTION("INT((DATE(INDEX(SPLIT(B86,""/| |:""),3), INDEX(SPLIT(B86,""/| |:""),2), INDEX(SPLIT(B86,""/| |:""),1)) + TIME(INDEX(SPLIT(B86,""/| |:""),4), INDEX(SPLIT(B86,""/| |:""),5), INDEX(SPLIT(B86,""/| |:""),6)) - DATE(1970,1,1)) * 86400)"),1.714299076E9)</f>
        <v>1714299076</v>
      </c>
      <c r="G86" s="3">
        <f>IFERROR(__xludf.DUMMYFUNCTION("INT((DATE(INDEX(SPLIT(C86,""/| |:""),3), INDEX(SPLIT(C86,""/| |:""),2), INDEX(SPLIT(C86,""/| |:""),1)) + TIME(INDEX(SPLIT(C86,""/| |:""),4), INDEX(SPLIT(C86,""/| |:""),5), INDEX(SPLIT(C86,""/| |:""),6)) - DATE(1970,1,1)) * 86400)"),1.735035076E9)</f>
        <v>1735035076</v>
      </c>
    </row>
    <row r="87">
      <c r="A87" s="1" t="s">
        <v>103</v>
      </c>
      <c r="B87" s="5" t="s">
        <v>727</v>
      </c>
      <c r="C87" s="1" t="s">
        <v>728</v>
      </c>
      <c r="D87" s="1" t="s">
        <v>729</v>
      </c>
      <c r="F87" s="3">
        <f>IFERROR(__xludf.DUMMYFUNCTION("INT((DATE(INDEX(SPLIT(B87,""/| |:""),3), INDEX(SPLIT(B87,""/| |:""),2), INDEX(SPLIT(B87,""/| |:""),1)) + TIME(INDEX(SPLIT(B87,""/| |:""),4), INDEX(SPLIT(B87,""/| |:""),5), INDEX(SPLIT(B87,""/| |:""),6)) - DATE(1970,1,1)) * 86400)"),1.714300445E9)</f>
        <v>1714300445</v>
      </c>
      <c r="G87" s="3">
        <f>IFERROR(__xludf.DUMMYFUNCTION("INT((DATE(INDEX(SPLIT(C87,""/| |:""),3), INDEX(SPLIT(C87,""/| |:""),2), INDEX(SPLIT(C87,""/| |:""),1)) + TIME(INDEX(SPLIT(C87,""/| |:""),4), INDEX(SPLIT(C87,""/| |:""),5), INDEX(SPLIT(C87,""/| |:""),6)) - DATE(1970,1,1)) * 86400)"),1.735036445E9)</f>
        <v>1735036445</v>
      </c>
    </row>
    <row r="88">
      <c r="A88" s="1" t="s">
        <v>102</v>
      </c>
      <c r="B88" s="5" t="s">
        <v>730</v>
      </c>
      <c r="C88" s="1" t="s">
        <v>731</v>
      </c>
      <c r="D88" s="1" t="s">
        <v>732</v>
      </c>
      <c r="F88" s="3">
        <f>IFERROR(__xludf.DUMMYFUNCTION("INT((DATE(INDEX(SPLIT(B88,""/| |:""),3), INDEX(SPLIT(B88,""/| |:""),2), INDEX(SPLIT(B88,""/| |:""),1)) + TIME(INDEX(SPLIT(B88,""/| |:""),4), INDEX(SPLIT(B88,""/| |:""),5), INDEX(SPLIT(B88,""/| |:""),6)) - DATE(1970,1,1)) * 86400)"),1.714301404E9)</f>
        <v>1714301404</v>
      </c>
      <c r="G88" s="3">
        <f>IFERROR(__xludf.DUMMYFUNCTION("INT((DATE(INDEX(SPLIT(C88,""/| |:""),3), INDEX(SPLIT(C88,""/| |:""),2), INDEX(SPLIT(C88,""/| |:""),1)) + TIME(INDEX(SPLIT(C88,""/| |:""),4), INDEX(SPLIT(C88,""/| |:""),5), INDEX(SPLIT(C88,""/| |:""),6)) - DATE(1970,1,1)) * 86400)"),1.735037404E9)</f>
        <v>1735037404</v>
      </c>
    </row>
    <row r="89">
      <c r="A89" s="1" t="s">
        <v>101</v>
      </c>
      <c r="B89" s="5" t="s">
        <v>733</v>
      </c>
      <c r="C89" s="1" t="s">
        <v>734</v>
      </c>
      <c r="D89" s="1" t="s">
        <v>735</v>
      </c>
      <c r="F89" s="3">
        <f>IFERROR(__xludf.DUMMYFUNCTION("INT((DATE(INDEX(SPLIT(B89,""/| |:""),3), INDEX(SPLIT(B89,""/| |:""),2), INDEX(SPLIT(B89,""/| |:""),1)) + TIME(INDEX(SPLIT(B89,""/| |:""),4), INDEX(SPLIT(B89,""/| |:""),5), INDEX(SPLIT(B89,""/| |:""),6)) - DATE(1970,1,1)) * 86400)"),1.714302733E9)</f>
        <v>1714302733</v>
      </c>
      <c r="G89" s="3">
        <f>IFERROR(__xludf.DUMMYFUNCTION("INT((DATE(INDEX(SPLIT(C89,""/| |:""),3), INDEX(SPLIT(C89,""/| |:""),2), INDEX(SPLIT(C89,""/| |:""),1)) + TIME(INDEX(SPLIT(C89,""/| |:""),4), INDEX(SPLIT(C89,""/| |:""),5), INDEX(SPLIT(C89,""/| |:""),6)) - DATE(1970,1,1)) * 86400)"),1.735038733E9)</f>
        <v>1735038733</v>
      </c>
    </row>
    <row r="90">
      <c r="A90" s="1" t="s">
        <v>100</v>
      </c>
      <c r="B90" s="5" t="s">
        <v>736</v>
      </c>
      <c r="C90" s="1" t="s">
        <v>737</v>
      </c>
      <c r="D90" s="1" t="s">
        <v>738</v>
      </c>
      <c r="F90" s="3">
        <f>IFERROR(__xludf.DUMMYFUNCTION("INT((DATE(INDEX(SPLIT(B90,""/| |:""),3), INDEX(SPLIT(B90,""/| |:""),2), INDEX(SPLIT(B90,""/| |:""),1)) + TIME(INDEX(SPLIT(B90,""/| |:""),4), INDEX(SPLIT(B90,""/| |:""),5), INDEX(SPLIT(B90,""/| |:""),6)) - DATE(1970,1,1)) * 86400)"),1.714304816E9)</f>
        <v>1714304816</v>
      </c>
      <c r="G90" s="3">
        <f>IFERROR(__xludf.DUMMYFUNCTION("INT((DATE(INDEX(SPLIT(C90,""/| |:""),3), INDEX(SPLIT(C90,""/| |:""),2), INDEX(SPLIT(C90,""/| |:""),1)) + TIME(INDEX(SPLIT(C90,""/| |:""),4), INDEX(SPLIT(C90,""/| |:""),5), INDEX(SPLIT(C90,""/| |:""),6)) - DATE(1970,1,1)) * 86400)"),1.735040816E9)</f>
        <v>1735040816</v>
      </c>
    </row>
    <row r="91">
      <c r="A91" s="1" t="s">
        <v>78</v>
      </c>
      <c r="B91" s="5" t="s">
        <v>739</v>
      </c>
      <c r="C91" s="1" t="s">
        <v>740</v>
      </c>
      <c r="D91" s="1" t="s">
        <v>741</v>
      </c>
      <c r="F91" s="3">
        <f>IFERROR(__xludf.DUMMYFUNCTION("INT((DATE(INDEX(SPLIT(B91,""/| |:""),3), INDEX(SPLIT(B91,""/| |:""),2), INDEX(SPLIT(B91,""/| |:""),1)) + TIME(INDEX(SPLIT(B91,""/| |:""),4), INDEX(SPLIT(B91,""/| |:""),5), INDEX(SPLIT(B91,""/| |:""),6)) - DATE(1970,1,1)) * 86400)"),1.714307236E9)</f>
        <v>1714307236</v>
      </c>
      <c r="G91" s="3">
        <f>IFERROR(__xludf.DUMMYFUNCTION("INT((DATE(INDEX(SPLIT(C91,""/| |:""),3), INDEX(SPLIT(C91,""/| |:""),2), INDEX(SPLIT(C91,""/| |:""),1)) + TIME(INDEX(SPLIT(C91,""/| |:""),4), INDEX(SPLIT(C91,""/| |:""),5), INDEX(SPLIT(C91,""/| |:""),6)) - DATE(1970,1,1)) * 86400)"),1.735043236E9)</f>
        <v>1735043236</v>
      </c>
    </row>
    <row r="92">
      <c r="A92" s="1" t="s">
        <v>25</v>
      </c>
      <c r="B92" s="5" t="s">
        <v>742</v>
      </c>
      <c r="C92" s="1" t="s">
        <v>743</v>
      </c>
      <c r="D92" s="1" t="s">
        <v>744</v>
      </c>
      <c r="F92" s="3">
        <f>IFERROR(__xludf.DUMMYFUNCTION("INT((DATE(INDEX(SPLIT(B92,""/| |:""),3), INDEX(SPLIT(B92,""/| |:""),2), INDEX(SPLIT(B92,""/| |:""),1)) + TIME(INDEX(SPLIT(B92,""/| |:""),4), INDEX(SPLIT(B92,""/| |:""),5), INDEX(SPLIT(B92,""/| |:""),6)) - DATE(1970,1,1)) * 86400)"),1.714312133E9)</f>
        <v>1714312133</v>
      </c>
      <c r="G92" s="3">
        <f>IFERROR(__xludf.DUMMYFUNCTION("INT((DATE(INDEX(SPLIT(C92,""/| |:""),3), INDEX(SPLIT(C92,""/| |:""),2), INDEX(SPLIT(C92,""/| |:""),1)) + TIME(INDEX(SPLIT(C92,""/| |:""),4), INDEX(SPLIT(C92,""/| |:""),5), INDEX(SPLIT(C92,""/| |:""),6)) - DATE(1970,1,1)) * 86400)"),1.735048133E9)</f>
        <v>1735048133</v>
      </c>
    </row>
    <row r="93">
      <c r="A93" s="1" t="s">
        <v>39</v>
      </c>
      <c r="B93" s="5" t="s">
        <v>745</v>
      </c>
      <c r="C93" s="1" t="s">
        <v>746</v>
      </c>
      <c r="D93" s="1" t="s">
        <v>747</v>
      </c>
      <c r="F93" s="3">
        <f>IFERROR(__xludf.DUMMYFUNCTION("INT((DATE(INDEX(SPLIT(B93,""/| |:""),3), INDEX(SPLIT(B93,""/| |:""),2), INDEX(SPLIT(B93,""/| |:""),1)) + TIME(INDEX(SPLIT(B93,""/| |:""),4), INDEX(SPLIT(B93,""/| |:""),5), INDEX(SPLIT(B93,""/| |:""),6)) - DATE(1970,1,1)) * 86400)"),1.71431419E9)</f>
        <v>1714314190</v>
      </c>
      <c r="G93" s="3">
        <f>IFERROR(__xludf.DUMMYFUNCTION("INT((DATE(INDEX(SPLIT(C93,""/| |:""),3), INDEX(SPLIT(C93,""/| |:""),2), INDEX(SPLIT(C93,""/| |:""),1)) + TIME(INDEX(SPLIT(C93,""/| |:""),4), INDEX(SPLIT(C93,""/| |:""),5), INDEX(SPLIT(C93,""/| |:""),6)) - DATE(1970,1,1)) * 86400)"),1.73505019E9)</f>
        <v>1735050190</v>
      </c>
    </row>
    <row r="94">
      <c r="A94" s="1" t="s">
        <v>99</v>
      </c>
      <c r="B94" s="5" t="s">
        <v>748</v>
      </c>
      <c r="C94" s="1" t="s">
        <v>749</v>
      </c>
      <c r="D94" s="1" t="s">
        <v>750</v>
      </c>
      <c r="F94" s="3">
        <f>IFERROR(__xludf.DUMMYFUNCTION("INT((DATE(INDEX(SPLIT(B94,""/| |:""),3), INDEX(SPLIT(B94,""/| |:""),2), INDEX(SPLIT(B94,""/| |:""),1)) + TIME(INDEX(SPLIT(B94,""/| |:""),4), INDEX(SPLIT(B94,""/| |:""),5), INDEX(SPLIT(B94,""/| |:""),6)) - DATE(1970,1,1)) * 86400)"),1.714315985E9)</f>
        <v>1714315985</v>
      </c>
      <c r="G94" s="3">
        <f>IFERROR(__xludf.DUMMYFUNCTION("INT((DATE(INDEX(SPLIT(C94,""/| |:""),3), INDEX(SPLIT(C94,""/| |:""),2), INDEX(SPLIT(C94,""/| |:""),1)) + TIME(INDEX(SPLIT(C94,""/| |:""),4), INDEX(SPLIT(C94,""/| |:""),5), INDEX(SPLIT(C94,""/| |:""),6)) - DATE(1970,1,1)) * 86400)"),1.735051985E9)</f>
        <v>1735051985</v>
      </c>
    </row>
    <row r="95">
      <c r="A95" s="1" t="s">
        <v>98</v>
      </c>
      <c r="B95" s="5" t="s">
        <v>751</v>
      </c>
      <c r="C95" s="1" t="s">
        <v>752</v>
      </c>
      <c r="D95" s="1" t="s">
        <v>753</v>
      </c>
      <c r="F95" s="3">
        <f>IFERROR(__xludf.DUMMYFUNCTION("INT((DATE(INDEX(SPLIT(B95,""/| |:""),3), INDEX(SPLIT(B95,""/| |:""),2), INDEX(SPLIT(B95,""/| |:""),1)) + TIME(INDEX(SPLIT(B95,""/| |:""),4), INDEX(SPLIT(B95,""/| |:""),5), INDEX(SPLIT(B95,""/| |:""),6)) - DATE(1970,1,1)) * 86400)"),1.714318898E9)</f>
        <v>1714318898</v>
      </c>
      <c r="G95" s="3">
        <f>IFERROR(__xludf.DUMMYFUNCTION("INT((DATE(INDEX(SPLIT(C95,""/| |:""),3), INDEX(SPLIT(C95,""/| |:""),2), INDEX(SPLIT(C95,""/| |:""),1)) + TIME(INDEX(SPLIT(C95,""/| |:""),4), INDEX(SPLIT(C95,""/| |:""),5), INDEX(SPLIT(C95,""/| |:""),6)) - DATE(1970,1,1)) * 86400)"),1.735054898E9)</f>
        <v>1735054898</v>
      </c>
    </row>
    <row r="96">
      <c r="A96" s="1" t="s">
        <v>97</v>
      </c>
      <c r="B96" s="5" t="s">
        <v>754</v>
      </c>
      <c r="C96" s="1" t="s">
        <v>755</v>
      </c>
      <c r="D96" s="1" t="s">
        <v>756</v>
      </c>
      <c r="F96" s="3">
        <f>IFERROR(__xludf.DUMMYFUNCTION("INT((DATE(INDEX(SPLIT(B96,""/| |:""),3), INDEX(SPLIT(B96,""/| |:""),2), INDEX(SPLIT(B96,""/| |:""),1)) + TIME(INDEX(SPLIT(B96,""/| |:""),4), INDEX(SPLIT(B96,""/| |:""),5), INDEX(SPLIT(B96,""/| |:""),6)) - DATE(1970,1,1)) * 86400)"),1.714319415E9)</f>
        <v>1714319415</v>
      </c>
      <c r="G96" s="3">
        <f>IFERROR(__xludf.DUMMYFUNCTION("INT((DATE(INDEX(SPLIT(C96,""/| |:""),3), INDEX(SPLIT(C96,""/| |:""),2), INDEX(SPLIT(C96,""/| |:""),1)) + TIME(INDEX(SPLIT(C96,""/| |:""),4), INDEX(SPLIT(C96,""/| |:""),5), INDEX(SPLIT(C96,""/| |:""),6)) - DATE(1970,1,1)) * 86400)"),1.735055415E9)</f>
        <v>1735055415</v>
      </c>
    </row>
    <row r="97">
      <c r="A97" s="1" t="s">
        <v>96</v>
      </c>
      <c r="B97" s="5" t="s">
        <v>757</v>
      </c>
      <c r="C97" s="1" t="s">
        <v>758</v>
      </c>
      <c r="D97" s="1" t="s">
        <v>759</v>
      </c>
      <c r="F97" s="3">
        <f>IFERROR(__xludf.DUMMYFUNCTION("INT((DATE(INDEX(SPLIT(B97,""/| |:""),3), INDEX(SPLIT(B97,""/| |:""),2), INDEX(SPLIT(B97,""/| |:""),1)) + TIME(INDEX(SPLIT(B97,""/| |:""),4), INDEX(SPLIT(B97,""/| |:""),5), INDEX(SPLIT(B97,""/| |:""),6)) - DATE(1970,1,1)) * 86400)"),1.714319538E9)</f>
        <v>1714319538</v>
      </c>
      <c r="G97" s="3">
        <f>IFERROR(__xludf.DUMMYFUNCTION("INT((DATE(INDEX(SPLIT(C97,""/| |:""),3), INDEX(SPLIT(C97,""/| |:""),2), INDEX(SPLIT(C97,""/| |:""),1)) + TIME(INDEX(SPLIT(C97,""/| |:""),4), INDEX(SPLIT(C97,""/| |:""),5), INDEX(SPLIT(C97,""/| |:""),6)) - DATE(1970,1,1)) * 86400)"),1.735055538E9)</f>
        <v>1735055538</v>
      </c>
    </row>
    <row r="98">
      <c r="A98" s="1" t="s">
        <v>95</v>
      </c>
      <c r="B98" s="5" t="s">
        <v>760</v>
      </c>
      <c r="C98" s="1" t="s">
        <v>761</v>
      </c>
      <c r="D98" s="1" t="s">
        <v>762</v>
      </c>
      <c r="F98" s="3">
        <f>IFERROR(__xludf.DUMMYFUNCTION("INT((DATE(INDEX(SPLIT(B98,""/| |:""),3), INDEX(SPLIT(B98,""/| |:""),2), INDEX(SPLIT(B98,""/| |:""),1)) + TIME(INDEX(SPLIT(B98,""/| |:""),4), INDEX(SPLIT(B98,""/| |:""),5), INDEX(SPLIT(B98,""/| |:""),6)) - DATE(1970,1,1)) * 86400)"),1.714323342E9)</f>
        <v>1714323342</v>
      </c>
      <c r="G98" s="3">
        <f>IFERROR(__xludf.DUMMYFUNCTION("INT((DATE(INDEX(SPLIT(C98,""/| |:""),3), INDEX(SPLIT(C98,""/| |:""),2), INDEX(SPLIT(C98,""/| |:""),1)) + TIME(INDEX(SPLIT(C98,""/| |:""),4), INDEX(SPLIT(C98,""/| |:""),5), INDEX(SPLIT(C98,""/| |:""),6)) - DATE(1970,1,1)) * 86400)"),1.735059342E9)</f>
        <v>1735059342</v>
      </c>
    </row>
    <row r="99">
      <c r="A99" s="1" t="s">
        <v>94</v>
      </c>
      <c r="B99" s="5" t="s">
        <v>763</v>
      </c>
      <c r="C99" s="1" t="s">
        <v>764</v>
      </c>
      <c r="D99" s="1" t="s">
        <v>765</v>
      </c>
      <c r="F99" s="3">
        <f>IFERROR(__xludf.DUMMYFUNCTION("INT((DATE(INDEX(SPLIT(B99,""/| |:""),3), INDEX(SPLIT(B99,""/| |:""),2), INDEX(SPLIT(B99,""/| |:""),1)) + TIME(INDEX(SPLIT(B99,""/| |:""),4), INDEX(SPLIT(B99,""/| |:""),5), INDEX(SPLIT(B99,""/| |:""),6)) - DATE(1970,1,1)) * 86400)"),1.714324285E9)</f>
        <v>1714324285</v>
      </c>
      <c r="G99" s="3">
        <f>IFERROR(__xludf.DUMMYFUNCTION("INT((DATE(INDEX(SPLIT(C99,""/| |:""),3), INDEX(SPLIT(C99,""/| |:""),2), INDEX(SPLIT(C99,""/| |:""),1)) + TIME(INDEX(SPLIT(C99,""/| |:""),4), INDEX(SPLIT(C99,""/| |:""),5), INDEX(SPLIT(C99,""/| |:""),6)) - DATE(1970,1,1)) * 86400)"),1.735060285E9)</f>
        <v>1735060285</v>
      </c>
    </row>
    <row r="100">
      <c r="A100" s="1" t="s">
        <v>93</v>
      </c>
      <c r="B100" s="5" t="s">
        <v>766</v>
      </c>
      <c r="C100" s="1" t="s">
        <v>767</v>
      </c>
      <c r="D100" s="1" t="s">
        <v>768</v>
      </c>
      <c r="F100" s="3">
        <f>IFERROR(__xludf.DUMMYFUNCTION("INT((DATE(INDEX(SPLIT(B100,""/| |:""),3), INDEX(SPLIT(B100,""/| |:""),2), INDEX(SPLIT(B100,""/| |:""),1)) + TIME(INDEX(SPLIT(B100,""/| |:""),4), INDEX(SPLIT(B100,""/| |:""),5), INDEX(SPLIT(B100,""/| |:""),6)) - DATE(1970,1,1)) * 86400)"),1.714325371E9)</f>
        <v>1714325371</v>
      </c>
      <c r="G100" s="3">
        <f>IFERROR(__xludf.DUMMYFUNCTION("INT((DATE(INDEX(SPLIT(C100,""/| |:""),3), INDEX(SPLIT(C100,""/| |:""),2), INDEX(SPLIT(C100,""/| |:""),1)) + TIME(INDEX(SPLIT(C100,""/| |:""),4), INDEX(SPLIT(C100,""/| |:""),5), INDEX(SPLIT(C100,""/| |:""),6)) - DATE(1970,1,1)) * 86400)"),1.735061371E9)</f>
        <v>1735061371</v>
      </c>
    </row>
    <row r="101">
      <c r="A101" s="1" t="s">
        <v>92</v>
      </c>
      <c r="B101" s="5" t="s">
        <v>769</v>
      </c>
      <c r="C101" s="1" t="s">
        <v>770</v>
      </c>
      <c r="D101" s="1" t="s">
        <v>771</v>
      </c>
      <c r="F101" s="3">
        <f>IFERROR(__xludf.DUMMYFUNCTION("INT((DATE(INDEX(SPLIT(B101,""/| |:""),3), INDEX(SPLIT(B101,""/| |:""),2), INDEX(SPLIT(B101,""/| |:""),1)) + TIME(INDEX(SPLIT(B101,""/| |:""),4), INDEX(SPLIT(B101,""/| |:""),5), INDEX(SPLIT(B101,""/| |:""),6)) - DATE(1970,1,1)) * 86400)"),1.714331991E9)</f>
        <v>1714331991</v>
      </c>
      <c r="G101" s="3">
        <f>IFERROR(__xludf.DUMMYFUNCTION("INT((DATE(INDEX(SPLIT(C101,""/| |:""),3), INDEX(SPLIT(C101,""/| |:""),2), INDEX(SPLIT(C101,""/| |:""),1)) + TIME(INDEX(SPLIT(C101,""/| |:""),4), INDEX(SPLIT(C101,""/| |:""),5), INDEX(SPLIT(C101,""/| |:""),6)) - DATE(1970,1,1)) * 86400)"),1.735067991E9)</f>
        <v>1735067991</v>
      </c>
    </row>
    <row r="102">
      <c r="A102" s="1" t="s">
        <v>91</v>
      </c>
      <c r="B102" s="5" t="s">
        <v>772</v>
      </c>
      <c r="C102" s="1" t="s">
        <v>773</v>
      </c>
      <c r="D102" s="1" t="s">
        <v>774</v>
      </c>
      <c r="F102" s="3">
        <f>IFERROR(__xludf.DUMMYFUNCTION("INT((DATE(INDEX(SPLIT(B102,""/| |:""),3), INDEX(SPLIT(B102,""/| |:""),2), INDEX(SPLIT(B102,""/| |:""),1)) + TIME(INDEX(SPLIT(B102,""/| |:""),4), INDEX(SPLIT(B102,""/| |:""),5), INDEX(SPLIT(B102,""/| |:""),6)) - DATE(1970,1,1)) * 86400)"),1.714333829E9)</f>
        <v>1714333829</v>
      </c>
      <c r="G102" s="3">
        <f>IFERROR(__xludf.DUMMYFUNCTION("INT((DATE(INDEX(SPLIT(C102,""/| |:""),3), INDEX(SPLIT(C102,""/| |:""),2), INDEX(SPLIT(C102,""/| |:""),1)) + TIME(INDEX(SPLIT(C102,""/| |:""),4), INDEX(SPLIT(C102,""/| |:""),5), INDEX(SPLIT(C102,""/| |:""),6)) - DATE(1970,1,1)) * 86400)"),1.735069829E9)</f>
        <v>1735069829</v>
      </c>
    </row>
    <row r="103">
      <c r="A103" s="1" t="s">
        <v>90</v>
      </c>
      <c r="B103" s="5" t="s">
        <v>775</v>
      </c>
      <c r="C103" s="1" t="s">
        <v>776</v>
      </c>
      <c r="D103" s="1" t="s">
        <v>777</v>
      </c>
      <c r="F103" s="3">
        <f>IFERROR(__xludf.DUMMYFUNCTION("INT((DATE(INDEX(SPLIT(B103,""/| |:""),3), INDEX(SPLIT(B103,""/| |:""),2), INDEX(SPLIT(B103,""/| |:""),1)) + TIME(INDEX(SPLIT(B103,""/| |:""),4), INDEX(SPLIT(B103,""/| |:""),5), INDEX(SPLIT(B103,""/| |:""),6)) - DATE(1970,1,1)) * 86400)"),1.714335262E9)</f>
        <v>1714335262</v>
      </c>
      <c r="G103" s="3">
        <f>IFERROR(__xludf.DUMMYFUNCTION("INT((DATE(INDEX(SPLIT(C103,""/| |:""),3), INDEX(SPLIT(C103,""/| |:""),2), INDEX(SPLIT(C103,""/| |:""),1)) + TIME(INDEX(SPLIT(C103,""/| |:""),4), INDEX(SPLIT(C103,""/| |:""),5), INDEX(SPLIT(C103,""/| |:""),6)) - DATE(1970,1,1)) * 86400)"),1.735071262E9)</f>
        <v>1735071262</v>
      </c>
    </row>
    <row r="104">
      <c r="A104" s="1" t="s">
        <v>89</v>
      </c>
      <c r="B104" s="5" t="s">
        <v>778</v>
      </c>
      <c r="C104" s="1" t="s">
        <v>779</v>
      </c>
      <c r="D104" s="1" t="s">
        <v>780</v>
      </c>
      <c r="F104" s="3">
        <f>IFERROR(__xludf.DUMMYFUNCTION("INT((DATE(INDEX(SPLIT(B104,""/| |:""),3), INDEX(SPLIT(B104,""/| |:""),2), INDEX(SPLIT(B104,""/| |:""),1)) + TIME(INDEX(SPLIT(B104,""/| |:""),4), INDEX(SPLIT(B104,""/| |:""),5), INDEX(SPLIT(B104,""/| |:""),6)) - DATE(1970,1,1)) * 86400)"),1.714335585E9)</f>
        <v>1714335585</v>
      </c>
      <c r="G104" s="3">
        <f>IFERROR(__xludf.DUMMYFUNCTION("INT((DATE(INDEX(SPLIT(C104,""/| |:""),3), INDEX(SPLIT(C104,""/| |:""),2), INDEX(SPLIT(C104,""/| |:""),1)) + TIME(INDEX(SPLIT(C104,""/| |:""),4), INDEX(SPLIT(C104,""/| |:""),5), INDEX(SPLIT(C104,""/| |:""),6)) - DATE(1970,1,1)) * 86400)"),1.735071585E9)</f>
        <v>1735071585</v>
      </c>
    </row>
    <row r="105">
      <c r="A105" s="1" t="s">
        <v>88</v>
      </c>
      <c r="B105" s="5" t="s">
        <v>781</v>
      </c>
      <c r="C105" s="1" t="s">
        <v>782</v>
      </c>
      <c r="D105" s="1" t="s">
        <v>783</v>
      </c>
      <c r="F105" s="3">
        <f>IFERROR(__xludf.DUMMYFUNCTION("INT((DATE(INDEX(SPLIT(B105,""/| |:""),3), INDEX(SPLIT(B105,""/| |:""),2), INDEX(SPLIT(B105,""/| |:""),1)) + TIME(INDEX(SPLIT(B105,""/| |:""),4), INDEX(SPLIT(B105,""/| |:""),5), INDEX(SPLIT(B105,""/| |:""),6)) - DATE(1970,1,1)) * 86400)"),1.714338438E9)</f>
        <v>1714338438</v>
      </c>
      <c r="G105" s="3">
        <f>IFERROR(__xludf.DUMMYFUNCTION("INT((DATE(INDEX(SPLIT(C105,""/| |:""),3), INDEX(SPLIT(C105,""/| |:""),2), INDEX(SPLIT(C105,""/| |:""),1)) + TIME(INDEX(SPLIT(C105,""/| |:""),4), INDEX(SPLIT(C105,""/| |:""),5), INDEX(SPLIT(C105,""/| |:""),6)) - DATE(1970,1,1)) * 86400)"),1.735074438E9)</f>
        <v>1735074438</v>
      </c>
    </row>
    <row r="106">
      <c r="A106" s="1" t="s">
        <v>88</v>
      </c>
      <c r="B106" s="5" t="s">
        <v>784</v>
      </c>
      <c r="C106" s="1" t="s">
        <v>785</v>
      </c>
      <c r="D106" s="1" t="s">
        <v>786</v>
      </c>
      <c r="F106" s="3">
        <f>IFERROR(__xludf.DUMMYFUNCTION("INT((DATE(INDEX(SPLIT(B106,""/| |:""),3), INDEX(SPLIT(B106,""/| |:""),2), INDEX(SPLIT(B106,""/| |:""),1)) + TIME(INDEX(SPLIT(B106,""/| |:""),4), INDEX(SPLIT(B106,""/| |:""),5), INDEX(SPLIT(B106,""/| |:""),6)) - DATE(1970,1,1)) * 86400)"),1.714338602E9)</f>
        <v>1714338602</v>
      </c>
      <c r="G106" s="3">
        <f>IFERROR(__xludf.DUMMYFUNCTION("INT((DATE(INDEX(SPLIT(C106,""/| |:""),3), INDEX(SPLIT(C106,""/| |:""),2), INDEX(SPLIT(C106,""/| |:""),1)) + TIME(INDEX(SPLIT(C106,""/| |:""),4), INDEX(SPLIT(C106,""/| |:""),5), INDEX(SPLIT(C106,""/| |:""),6)) - DATE(1970,1,1)) * 86400)"),1.735074602E9)</f>
        <v>1735074602</v>
      </c>
    </row>
    <row r="107">
      <c r="A107" s="1" t="s">
        <v>87</v>
      </c>
      <c r="B107" s="5" t="s">
        <v>787</v>
      </c>
      <c r="C107" s="1" t="s">
        <v>788</v>
      </c>
      <c r="D107" s="1" t="s">
        <v>789</v>
      </c>
      <c r="F107" s="3">
        <f>IFERROR(__xludf.DUMMYFUNCTION("INT((DATE(INDEX(SPLIT(B107,""/| |:""),3), INDEX(SPLIT(B107,""/| |:""),2), INDEX(SPLIT(B107,""/| |:""),1)) + TIME(INDEX(SPLIT(B107,""/| |:""),4), INDEX(SPLIT(B107,""/| |:""),5), INDEX(SPLIT(B107,""/| |:""),6)) - DATE(1970,1,1)) * 86400)"),1.71434056E9)</f>
        <v>1714340560</v>
      </c>
      <c r="G107" s="3">
        <f>IFERROR(__xludf.DUMMYFUNCTION("INT((DATE(INDEX(SPLIT(C107,""/| |:""),3), INDEX(SPLIT(C107,""/| |:""),2), INDEX(SPLIT(C107,""/| |:""),1)) + TIME(INDEX(SPLIT(C107,""/| |:""),4), INDEX(SPLIT(C107,""/| |:""),5), INDEX(SPLIT(C107,""/| |:""),6)) - DATE(1970,1,1)) * 86400)"),1.73507656E9)</f>
        <v>1735076560</v>
      </c>
    </row>
    <row r="108">
      <c r="A108" s="1" t="s">
        <v>86</v>
      </c>
      <c r="B108" s="5" t="s">
        <v>790</v>
      </c>
      <c r="C108" s="1" t="s">
        <v>791</v>
      </c>
      <c r="D108" s="1" t="s">
        <v>792</v>
      </c>
      <c r="F108" s="3">
        <f>IFERROR(__xludf.DUMMYFUNCTION("INT((DATE(INDEX(SPLIT(B108,""/| |:""),3), INDEX(SPLIT(B108,""/| |:""),2), INDEX(SPLIT(B108,""/| |:""),1)) + TIME(INDEX(SPLIT(B108,""/| |:""),4), INDEX(SPLIT(B108,""/| |:""),5), INDEX(SPLIT(B108,""/| |:""),6)) - DATE(1970,1,1)) * 86400)"),1.714341234E9)</f>
        <v>1714341234</v>
      </c>
      <c r="G108" s="3">
        <f>IFERROR(__xludf.DUMMYFUNCTION("INT((DATE(INDEX(SPLIT(C108,""/| |:""),3), INDEX(SPLIT(C108,""/| |:""),2), INDEX(SPLIT(C108,""/| |:""),1)) + TIME(INDEX(SPLIT(C108,""/| |:""),4), INDEX(SPLIT(C108,""/| |:""),5), INDEX(SPLIT(C108,""/| |:""),6)) - DATE(1970,1,1)) * 86400)"),1.735077234E9)</f>
        <v>1735077234</v>
      </c>
    </row>
    <row r="109">
      <c r="A109" s="1" t="s">
        <v>85</v>
      </c>
      <c r="B109" s="5" t="s">
        <v>793</v>
      </c>
      <c r="C109" s="1" t="s">
        <v>794</v>
      </c>
      <c r="D109" s="1" t="s">
        <v>795</v>
      </c>
      <c r="F109" s="3">
        <f>IFERROR(__xludf.DUMMYFUNCTION("INT((DATE(INDEX(SPLIT(B109,""/| |:""),3), INDEX(SPLIT(B109,""/| |:""),2), INDEX(SPLIT(B109,""/| |:""),1)) + TIME(INDEX(SPLIT(B109,""/| |:""),4), INDEX(SPLIT(B109,""/| |:""),5), INDEX(SPLIT(B109,""/| |:""),6)) - DATE(1970,1,1)) * 86400)"),1.714344296E9)</f>
        <v>1714344296</v>
      </c>
      <c r="G109" s="3">
        <f>IFERROR(__xludf.DUMMYFUNCTION("INT((DATE(INDEX(SPLIT(C109,""/| |:""),3), INDEX(SPLIT(C109,""/| |:""),2), INDEX(SPLIT(C109,""/| |:""),1)) + TIME(INDEX(SPLIT(C109,""/| |:""),4), INDEX(SPLIT(C109,""/| |:""),5), INDEX(SPLIT(C109,""/| |:""),6)) - DATE(1970,1,1)) * 86400)"),1.735080296E9)</f>
        <v>1735080296</v>
      </c>
    </row>
    <row r="110">
      <c r="A110" s="1" t="s">
        <v>84</v>
      </c>
      <c r="B110" s="5" t="s">
        <v>796</v>
      </c>
      <c r="C110" s="1" t="s">
        <v>797</v>
      </c>
      <c r="D110" s="1" t="s">
        <v>798</v>
      </c>
      <c r="F110" s="3">
        <f>IFERROR(__xludf.DUMMYFUNCTION("INT((DATE(INDEX(SPLIT(B110,""/| |:""),3), INDEX(SPLIT(B110,""/| |:""),2), INDEX(SPLIT(B110,""/| |:""),1)) + TIME(INDEX(SPLIT(B110,""/| |:""),4), INDEX(SPLIT(B110,""/| |:""),5), INDEX(SPLIT(B110,""/| |:""),6)) - DATE(1970,1,1)) * 86400)"),1.714384085E9)</f>
        <v>1714384085</v>
      </c>
      <c r="G110" s="3">
        <f>IFERROR(__xludf.DUMMYFUNCTION("INT((DATE(INDEX(SPLIT(C110,""/| |:""),3), INDEX(SPLIT(C110,""/| |:""),2), INDEX(SPLIT(C110,""/| |:""),1)) + TIME(INDEX(SPLIT(C110,""/| |:""),4), INDEX(SPLIT(C110,""/| |:""),5), INDEX(SPLIT(C110,""/| |:""),6)) - DATE(1970,1,1)) * 86400)"),1.735120085E9)</f>
        <v>1735120085</v>
      </c>
    </row>
    <row r="111">
      <c r="A111" s="1" t="s">
        <v>83</v>
      </c>
      <c r="B111" s="5" t="s">
        <v>799</v>
      </c>
      <c r="C111" s="1" t="s">
        <v>800</v>
      </c>
      <c r="D111" s="1" t="s">
        <v>801</v>
      </c>
      <c r="F111" s="3">
        <f>IFERROR(__xludf.DUMMYFUNCTION("INT((DATE(INDEX(SPLIT(B111,""/| |:""),3), INDEX(SPLIT(B111,""/| |:""),2), INDEX(SPLIT(B111,""/| |:""),1)) + TIME(INDEX(SPLIT(B111,""/| |:""),4), INDEX(SPLIT(B111,""/| |:""),5), INDEX(SPLIT(B111,""/| |:""),6)) - DATE(1970,1,1)) * 86400)"),1.714496173E9)</f>
        <v>1714496173</v>
      </c>
      <c r="G111" s="3">
        <f>IFERROR(__xludf.DUMMYFUNCTION("INT((DATE(INDEX(SPLIT(C111,""/| |:""),3), INDEX(SPLIT(C111,""/| |:""),2), INDEX(SPLIT(C111,""/| |:""),1)) + TIME(INDEX(SPLIT(C111,""/| |:""),4), INDEX(SPLIT(C111,""/| |:""),5), INDEX(SPLIT(C111,""/| |:""),6)) - DATE(1970,1,1)) * 86400)"),1.735232173E9)</f>
        <v>1735232173</v>
      </c>
    </row>
    <row r="112">
      <c r="A112" s="1" t="s">
        <v>78</v>
      </c>
      <c r="B112" s="5" t="s">
        <v>802</v>
      </c>
      <c r="C112" s="7">
        <v>45870.11635416667</v>
      </c>
      <c r="D112" s="1" t="s">
        <v>803</v>
      </c>
      <c r="F112" s="3">
        <f>IFERROR(__xludf.DUMMYFUNCTION("INT((DATE(INDEX(SPLIT(B112,""/| |:""),3), INDEX(SPLIT(B112,""/| |:""),2), INDEX(SPLIT(B112,""/| |:""),1)) + TIME(INDEX(SPLIT(B112,""/| |:""),4), INDEX(SPLIT(B112,""/| |:""),5), INDEX(SPLIT(B112,""/| |:""),6)) - DATE(1970,1,1)) * 86400)"),1.715568453E9)</f>
        <v>1715568453</v>
      </c>
      <c r="G112" s="3">
        <f>IFERROR(__xludf.DUMMYFUNCTION("INT((DATE(INDEX(SPLIT(C112,""/| |:""),3), INDEX(SPLIT(C112,""/| |:""),2), INDEX(SPLIT(C112,""/| |:""),1)) + TIME(INDEX(SPLIT(C112,""/| |:""),4), INDEX(SPLIT(C112,""/| |:""),5), INDEX(SPLIT(C112,""/| |:""),6)) - DATE(1970,1,1)) * 86400)"),1.736304453E9)</f>
        <v>1736304453</v>
      </c>
    </row>
    <row r="113">
      <c r="A113" s="1" t="s">
        <v>78</v>
      </c>
      <c r="B113" s="5" t="s">
        <v>804</v>
      </c>
      <c r="C113" s="7">
        <v>45870.11767361111</v>
      </c>
      <c r="D113" s="1" t="s">
        <v>805</v>
      </c>
      <c r="F113" s="3">
        <f>IFERROR(__xludf.DUMMYFUNCTION("INT((DATE(INDEX(SPLIT(B113,""/| |:""),3), INDEX(SPLIT(B113,""/| |:""),2), INDEX(SPLIT(B113,""/| |:""),1)) + TIME(INDEX(SPLIT(B113,""/| |:""),4), INDEX(SPLIT(B113,""/| |:""),5), INDEX(SPLIT(B113,""/| |:""),6)) - DATE(1970,1,1)) * 86400)"),1.715568567E9)</f>
        <v>1715568567</v>
      </c>
      <c r="G113" s="3">
        <f>IFERROR(__xludf.DUMMYFUNCTION("INT((DATE(INDEX(SPLIT(C113,""/| |:""),3), INDEX(SPLIT(C113,""/| |:""),2), INDEX(SPLIT(C113,""/| |:""),1)) + TIME(INDEX(SPLIT(C113,""/| |:""),4), INDEX(SPLIT(C113,""/| |:""),5), INDEX(SPLIT(C113,""/| |:""),6)) - DATE(1970,1,1)) * 86400)"),1.736304567E9)</f>
        <v>1736304567</v>
      </c>
    </row>
    <row r="114">
      <c r="A114" s="1" t="s">
        <v>45</v>
      </c>
      <c r="B114" s="5" t="s">
        <v>806</v>
      </c>
      <c r="C114" s="7">
        <v>45992.676400462966</v>
      </c>
      <c r="D114" s="1" t="s">
        <v>807</v>
      </c>
      <c r="F114" s="3">
        <f>IFERROR(__xludf.DUMMYFUNCTION("INT((DATE(INDEX(SPLIT(B114,""/| |:""),3), INDEX(SPLIT(B114,""/| |:""),2), INDEX(SPLIT(B114,""/| |:""),1)) + TIME(INDEX(SPLIT(B114,""/| |:""),4), INDEX(SPLIT(B114,""/| |:""),5), INDEX(SPLIT(B114,""/| |:""),6)) - DATE(1970,1,1)) * 86400)"),1.715962441E9)</f>
        <v>1715962441</v>
      </c>
      <c r="G114" s="3">
        <f>IFERROR(__xludf.DUMMYFUNCTION("INT((DATE(INDEX(SPLIT(C114,""/| |:""),3), INDEX(SPLIT(C114,""/| |:""),2), INDEX(SPLIT(C114,""/| |:""),1)) + TIME(INDEX(SPLIT(C114,""/| |:""),4), INDEX(SPLIT(C114,""/| |:""),5), INDEX(SPLIT(C114,""/| |:""),6)) - DATE(1970,1,1)) * 86400)"),1.736698441E9)</f>
        <v>1736698441</v>
      </c>
    </row>
    <row r="115">
      <c r="A115" s="1" t="s">
        <v>44</v>
      </c>
      <c r="B115" s="5" t="s">
        <v>808</v>
      </c>
      <c r="C115" s="1" t="s">
        <v>809</v>
      </c>
      <c r="D115" s="1" t="s">
        <v>810</v>
      </c>
      <c r="F115" s="3">
        <f>IFERROR(__xludf.DUMMYFUNCTION("INT((DATE(INDEX(SPLIT(B115,""/| |:""),3), INDEX(SPLIT(B115,""/| |:""),2), INDEX(SPLIT(B115,""/| |:""),1)) + TIME(INDEX(SPLIT(B115,""/| |:""),4), INDEX(SPLIT(B115,""/| |:""),5), INDEX(SPLIT(B115,""/| |:""),6)) - DATE(1970,1,1)) * 86400)"),1.717085832E9)</f>
        <v>1717085832</v>
      </c>
      <c r="G115" s="3">
        <f>IFERROR(__xludf.DUMMYFUNCTION("INT((DATE(INDEX(SPLIT(C115,""/| |:""),3), INDEX(SPLIT(C115,""/| |:""),2), INDEX(SPLIT(C115,""/| |:""),1)) + TIME(INDEX(SPLIT(C115,""/| |:""),4), INDEX(SPLIT(C115,""/| |:""),5), INDEX(SPLIT(C115,""/| |:""),6)) - DATE(1970,1,1)) * 86400)"),1.737821832E9)</f>
        <v>1737821832</v>
      </c>
    </row>
    <row r="116">
      <c r="A116" s="1" t="s">
        <v>43</v>
      </c>
      <c r="B116" s="5">
        <v>45389.40893518519</v>
      </c>
      <c r="C116" s="7">
        <v>45660.40893518519</v>
      </c>
      <c r="D116" s="1" t="s">
        <v>811</v>
      </c>
      <c r="F116" s="3">
        <f>IFERROR(__xludf.DUMMYFUNCTION("INT((DATE(INDEX(SPLIT(B116,""/| |:""),3), INDEX(SPLIT(B116,""/| |:""),2), INDEX(SPLIT(B116,""/| |:""),1)) + TIME(INDEX(SPLIT(B116,""/| |:""),4), INDEX(SPLIT(B116,""/| |:""),5), INDEX(SPLIT(B116,""/| |:""),6)) - DATE(1970,1,1)) * 86400)"),1.720086532E9)</f>
        <v>1720086532</v>
      </c>
      <c r="G116" s="3">
        <f>IFERROR(__xludf.DUMMYFUNCTION("INT((DATE(INDEX(SPLIT(C116,""/| |:""),3), INDEX(SPLIT(C116,""/| |:""),2), INDEX(SPLIT(C116,""/| |:""),1)) + TIME(INDEX(SPLIT(C116,""/| |:""),4), INDEX(SPLIT(C116,""/| |:""),5), INDEX(SPLIT(C116,""/| |:""),6)) - DATE(1970,1,1)) * 86400)"),1.740822532E9)</f>
        <v>1740822532</v>
      </c>
    </row>
    <row r="117">
      <c r="A117" s="1" t="s">
        <v>42</v>
      </c>
      <c r="B117" s="5">
        <v>45419.05005787037</v>
      </c>
      <c r="C117" s="7">
        <v>45691.05005787037</v>
      </c>
      <c r="D117" s="1" t="s">
        <v>812</v>
      </c>
      <c r="F117" s="3">
        <f>IFERROR(__xludf.DUMMYFUNCTION("INT((DATE(INDEX(SPLIT(B117,""/| |:""),3), INDEX(SPLIT(B117,""/| |:""),2), INDEX(SPLIT(B117,""/| |:""),1)) + TIME(INDEX(SPLIT(B117,""/| |:""),4), INDEX(SPLIT(B117,""/| |:""),5), INDEX(SPLIT(B117,""/| |:""),6)) - DATE(1970,1,1)) * 86400)"),1.720141925E9)</f>
        <v>1720141925</v>
      </c>
      <c r="G117" s="3">
        <f>IFERROR(__xludf.DUMMYFUNCTION("INT((DATE(INDEX(SPLIT(C117,""/| |:""),3), INDEX(SPLIT(C117,""/| |:""),2), INDEX(SPLIT(C117,""/| |:""),1)) + TIME(INDEX(SPLIT(C117,""/| |:""),4), INDEX(SPLIT(C117,""/| |:""),5), INDEX(SPLIT(C117,""/| |:""),6)) - DATE(1970,1,1)) * 86400)"),1.740877925E9)</f>
        <v>1740877925</v>
      </c>
    </row>
    <row r="118">
      <c r="A118" s="1" t="s">
        <v>41</v>
      </c>
      <c r="B118" s="5">
        <v>45419.06915509259</v>
      </c>
      <c r="C118" s="7">
        <v>45691.06915509259</v>
      </c>
      <c r="D118" s="1" t="s">
        <v>813</v>
      </c>
      <c r="F118" s="3">
        <f>IFERROR(__xludf.DUMMYFUNCTION("INT((DATE(INDEX(SPLIT(B118,""/| |:""),3), INDEX(SPLIT(B118,""/| |:""),2), INDEX(SPLIT(B118,""/| |:""),1)) + TIME(INDEX(SPLIT(B118,""/| |:""),4), INDEX(SPLIT(B118,""/| |:""),5), INDEX(SPLIT(B118,""/| |:""),6)) - DATE(1970,1,1)) * 86400)"),1.720143575E9)</f>
        <v>1720143575</v>
      </c>
      <c r="G118" s="3">
        <f>IFERROR(__xludf.DUMMYFUNCTION("INT((DATE(INDEX(SPLIT(C118,""/| |:""),3), INDEX(SPLIT(C118,""/| |:""),2), INDEX(SPLIT(C118,""/| |:""),1)) + TIME(INDEX(SPLIT(C118,""/| |:""),4), INDEX(SPLIT(C118,""/| |:""),5), INDEX(SPLIT(C118,""/| |:""),6)) - DATE(1970,1,1)) * 86400)"),1.740879575E9)</f>
        <v>1740879575</v>
      </c>
    </row>
    <row r="119">
      <c r="A119" s="1" t="s">
        <v>40</v>
      </c>
      <c r="B119" s="5">
        <v>45419.13966435185</v>
      </c>
      <c r="C119" s="7">
        <v>45691.13966435185</v>
      </c>
      <c r="D119" s="1" t="s">
        <v>814</v>
      </c>
      <c r="F119" s="3">
        <f>IFERROR(__xludf.DUMMYFUNCTION("INT((DATE(INDEX(SPLIT(B119,""/| |:""),3), INDEX(SPLIT(B119,""/| |:""),2), INDEX(SPLIT(B119,""/| |:""),1)) + TIME(INDEX(SPLIT(B119,""/| |:""),4), INDEX(SPLIT(B119,""/| |:""),5), INDEX(SPLIT(B119,""/| |:""),6)) - DATE(1970,1,1)) * 86400)"),1.720149667E9)</f>
        <v>1720149667</v>
      </c>
      <c r="G119" s="3">
        <f>IFERROR(__xludf.DUMMYFUNCTION("INT((DATE(INDEX(SPLIT(C119,""/| |:""),3), INDEX(SPLIT(C119,""/| |:""),2), INDEX(SPLIT(C119,""/| |:""),1)) + TIME(INDEX(SPLIT(C119,""/| |:""),4), INDEX(SPLIT(C119,""/| |:""),5), INDEX(SPLIT(C119,""/| |:""),6)) - DATE(1970,1,1)) * 86400)"),1.740885667E9)</f>
        <v>1740885667</v>
      </c>
    </row>
    <row r="120">
      <c r="A120" s="1" t="s">
        <v>39</v>
      </c>
      <c r="B120" s="5">
        <v>45419.52804398148</v>
      </c>
      <c r="C120" s="7">
        <v>45691.52804398148</v>
      </c>
      <c r="D120" s="1" t="s">
        <v>815</v>
      </c>
      <c r="F120" s="3">
        <f>IFERROR(__xludf.DUMMYFUNCTION("INT((DATE(INDEX(SPLIT(B120,""/| |:""),3), INDEX(SPLIT(B120,""/| |:""),2), INDEX(SPLIT(B120,""/| |:""),1)) + TIME(INDEX(SPLIT(B120,""/| |:""),4), INDEX(SPLIT(B120,""/| |:""),5), INDEX(SPLIT(B120,""/| |:""),6)) - DATE(1970,1,1)) * 86400)"),1.720183223E9)</f>
        <v>1720183223</v>
      </c>
      <c r="G120" s="3">
        <f>IFERROR(__xludf.DUMMYFUNCTION("INT((DATE(INDEX(SPLIT(C120,""/| |:""),3), INDEX(SPLIT(C120,""/| |:""),2), INDEX(SPLIT(C120,""/| |:""),1)) + TIME(INDEX(SPLIT(C120,""/| |:""),4), INDEX(SPLIT(C120,""/| |:""),5), INDEX(SPLIT(C120,""/| |:""),6)) - DATE(1970,1,1)) * 86400)"),1.740919223E9)</f>
        <v>1740919223</v>
      </c>
    </row>
    <row r="121">
      <c r="A121" s="1" t="s">
        <v>38</v>
      </c>
      <c r="B121" s="5">
        <v>45419.60896990741</v>
      </c>
      <c r="C121" s="7">
        <v>45691.60896990741</v>
      </c>
      <c r="D121" s="1" t="s">
        <v>816</v>
      </c>
      <c r="F121" s="3">
        <f>IFERROR(__xludf.DUMMYFUNCTION("INT((DATE(INDEX(SPLIT(B121,""/| |:""),3), INDEX(SPLIT(B121,""/| |:""),2), INDEX(SPLIT(B121,""/| |:""),1)) + TIME(INDEX(SPLIT(B121,""/| |:""),4), INDEX(SPLIT(B121,""/| |:""),5), INDEX(SPLIT(B121,""/| |:""),6)) - DATE(1970,1,1)) * 86400)"),1.720190215E9)</f>
        <v>1720190215</v>
      </c>
      <c r="G121" s="3">
        <f>IFERROR(__xludf.DUMMYFUNCTION("INT((DATE(INDEX(SPLIT(C121,""/| |:""),3), INDEX(SPLIT(C121,""/| |:""),2), INDEX(SPLIT(C121,""/| |:""),1)) + TIME(INDEX(SPLIT(C121,""/| |:""),4), INDEX(SPLIT(C121,""/| |:""),5), INDEX(SPLIT(C121,""/| |:""),6)) - DATE(1970,1,1)) * 86400)"),1.740926215E9)</f>
        <v>1740926215</v>
      </c>
    </row>
    <row r="122">
      <c r="A122" s="1" t="s">
        <v>122</v>
      </c>
      <c r="B122" s="5">
        <v>45294.54630787037</v>
      </c>
      <c r="C122" s="1" t="s">
        <v>817</v>
      </c>
      <c r="D122" s="1" t="s">
        <v>818</v>
      </c>
      <c r="F122" s="3">
        <f>IFERROR(__xludf.DUMMYFUNCTION("INT((DATE(INDEX(SPLIT(B122,""/| |:""),3), INDEX(SPLIT(B122,""/| |:""),2), INDEX(SPLIT(B122,""/| |:""),1)) + TIME(INDEX(SPLIT(B122,""/| |:""),4), INDEX(SPLIT(B122,""/| |:""),5), INDEX(SPLIT(B122,""/| |:""),6)) - DATE(1970,1,1)) * 86400)"),1.709298401E9)</f>
        <v>1709298401</v>
      </c>
      <c r="G122" s="3">
        <f>IFERROR(__xludf.DUMMYFUNCTION("INT((DATE(INDEX(SPLIT(C122,""/| |:""),3), INDEX(SPLIT(C122,""/| |:""),2), INDEX(SPLIT(C122,""/| |:""),1)) + TIME(INDEX(SPLIT(C122,""/| |:""),4), INDEX(SPLIT(C122,""/| |:""),5), INDEX(SPLIT(C122,""/| |:""),6)) - DATE(1970,1,1)) * 86400)"),1.719666401E9)</f>
        <v>1719666401</v>
      </c>
    </row>
    <row r="123">
      <c r="A123" s="1" t="s">
        <v>37</v>
      </c>
      <c r="B123" s="5">
        <v>45480.575844907406</v>
      </c>
      <c r="C123" s="7">
        <v>45750.575844907406</v>
      </c>
      <c r="D123" s="1" t="s">
        <v>819</v>
      </c>
      <c r="F123" s="3">
        <f>IFERROR(__xludf.DUMMYFUNCTION("INT((DATE(INDEX(SPLIT(B123,""/| |:""),3), INDEX(SPLIT(B123,""/| |:""),2), INDEX(SPLIT(B123,""/| |:""),1)) + TIME(INDEX(SPLIT(B123,""/| |:""),4), INDEX(SPLIT(B123,""/| |:""),5), INDEX(SPLIT(B123,""/| |:""),6)) - DATE(1970,1,1)) * 86400)"),1.720360153E9)</f>
        <v>1720360153</v>
      </c>
      <c r="G123" s="3">
        <f>IFERROR(__xludf.DUMMYFUNCTION("INT((DATE(INDEX(SPLIT(C123,""/| |:""),3), INDEX(SPLIT(C123,""/| |:""),2), INDEX(SPLIT(C123,""/| |:""),1)) + TIME(INDEX(SPLIT(C123,""/| |:""),4), INDEX(SPLIT(C123,""/| |:""),5), INDEX(SPLIT(C123,""/| |:""),6)) - DATE(1970,1,1)) * 86400)"),1.741096153E9)</f>
        <v>1741096153</v>
      </c>
    </row>
    <row r="124">
      <c r="A124" s="1" t="s">
        <v>36</v>
      </c>
      <c r="B124" s="5">
        <v>45511.60559027778</v>
      </c>
      <c r="C124" s="7">
        <v>45780.60559027778</v>
      </c>
      <c r="D124" s="1" t="s">
        <v>820</v>
      </c>
      <c r="F124" s="3">
        <f>IFERROR(__xludf.DUMMYFUNCTION("INT((DATE(INDEX(SPLIT(B124,""/| |:""),3), INDEX(SPLIT(B124,""/| |:""),2), INDEX(SPLIT(B124,""/| |:""),1)) + TIME(INDEX(SPLIT(B124,""/| |:""),4), INDEX(SPLIT(B124,""/| |:""),5), INDEX(SPLIT(B124,""/| |:""),6)) - DATE(1970,1,1)) * 86400)"),1.720449123E9)</f>
        <v>1720449123</v>
      </c>
      <c r="G124" s="3">
        <f>IFERROR(__xludf.DUMMYFUNCTION("INT((DATE(INDEX(SPLIT(C124,""/| |:""),3), INDEX(SPLIT(C124,""/| |:""),2), INDEX(SPLIT(C124,""/| |:""),1)) + TIME(INDEX(SPLIT(C124,""/| |:""),4), INDEX(SPLIT(C124,""/| |:""),5), INDEX(SPLIT(C124,""/| |:""),6)) - DATE(1970,1,1)) * 86400)"),1.741185123E9)</f>
        <v>1741185123</v>
      </c>
    </row>
    <row r="125">
      <c r="A125" s="1" t="s">
        <v>35</v>
      </c>
      <c r="B125" s="5">
        <v>45511.92365740741</v>
      </c>
      <c r="C125" s="7">
        <v>45780.92365740741</v>
      </c>
      <c r="D125" s="1" t="s">
        <v>821</v>
      </c>
      <c r="F125" s="3">
        <f>IFERROR(__xludf.DUMMYFUNCTION("INT((DATE(INDEX(SPLIT(B125,""/| |:""),3), INDEX(SPLIT(B125,""/| |:""),2), INDEX(SPLIT(B125,""/| |:""),1)) + TIME(INDEX(SPLIT(B125,""/| |:""),4), INDEX(SPLIT(B125,""/| |:""),5), INDEX(SPLIT(B125,""/| |:""),6)) - DATE(1970,1,1)) * 86400)"),1.720476604E9)</f>
        <v>1720476604</v>
      </c>
      <c r="G125" s="3">
        <f>IFERROR(__xludf.DUMMYFUNCTION("INT((DATE(INDEX(SPLIT(C125,""/| |:""),3), INDEX(SPLIT(C125,""/| |:""),2), INDEX(SPLIT(C125,""/| |:""),1)) + TIME(INDEX(SPLIT(C125,""/| |:""),4), INDEX(SPLIT(C125,""/| |:""),5), INDEX(SPLIT(C125,""/| |:""),6)) - DATE(1970,1,1)) * 86400)"),1.741212604E9)</f>
        <v>1741212604</v>
      </c>
    </row>
    <row r="126">
      <c r="A126" s="1" t="s">
        <v>501</v>
      </c>
      <c r="B126" s="5">
        <v>45542.673680555556</v>
      </c>
      <c r="C126" s="7">
        <v>45811.673680555556</v>
      </c>
      <c r="D126" s="1" t="s">
        <v>822</v>
      </c>
      <c r="F126" s="3">
        <f>IFERROR(__xludf.DUMMYFUNCTION("INT((DATE(INDEX(SPLIT(B126,""/| |:""),3), INDEX(SPLIT(B126,""/| |:""),2), INDEX(SPLIT(B126,""/| |:""),1)) + TIME(INDEX(SPLIT(B126,""/| |:""),4), INDEX(SPLIT(B126,""/| |:""),5), INDEX(SPLIT(B126,""/| |:""),6)) - DATE(1970,1,1)) * 86400)"),1.720541406E9)</f>
        <v>1720541406</v>
      </c>
      <c r="G126" s="3">
        <f>IFERROR(__xludf.DUMMYFUNCTION("INT((DATE(INDEX(SPLIT(C126,""/| |:""),3), INDEX(SPLIT(C126,""/| |:""),2), INDEX(SPLIT(C126,""/| |:""),1)) + TIME(INDEX(SPLIT(C126,""/| |:""),4), INDEX(SPLIT(C126,""/| |:""),5), INDEX(SPLIT(C126,""/| |:""),6)) - DATE(1970,1,1)) * 86400)"),1.741277406E9)</f>
        <v>1741277406</v>
      </c>
    </row>
    <row r="127">
      <c r="A127" s="1" t="s">
        <v>502</v>
      </c>
      <c r="B127" s="5">
        <v>45542.81216435185</v>
      </c>
      <c r="C127" s="7">
        <v>45811.81216435185</v>
      </c>
      <c r="D127" s="1" t="s">
        <v>823</v>
      </c>
      <c r="F127" s="3">
        <f>IFERROR(__xludf.DUMMYFUNCTION("INT((DATE(INDEX(SPLIT(B127,""/| |:""),3), INDEX(SPLIT(B127,""/| |:""),2), INDEX(SPLIT(B127,""/| |:""),1)) + TIME(INDEX(SPLIT(B127,""/| |:""),4), INDEX(SPLIT(B127,""/| |:""),5), INDEX(SPLIT(B127,""/| |:""),6)) - DATE(1970,1,1)) * 86400)"),1.720553371E9)</f>
        <v>1720553371</v>
      </c>
      <c r="G127" s="3">
        <f>IFERROR(__xludf.DUMMYFUNCTION("INT((DATE(INDEX(SPLIT(C127,""/| |:""),3), INDEX(SPLIT(C127,""/| |:""),2), INDEX(SPLIT(C127,""/| |:""),1)) + TIME(INDEX(SPLIT(C127,""/| |:""),4), INDEX(SPLIT(C127,""/| |:""),5), INDEX(SPLIT(C127,""/| |:""),6)) - DATE(1970,1,1)) * 86400)"),1.741289371E9)</f>
        <v>1741289371</v>
      </c>
    </row>
    <row r="128">
      <c r="A128" s="1" t="s">
        <v>503</v>
      </c>
      <c r="B128" s="5">
        <v>45572.01515046296</v>
      </c>
      <c r="C128" s="7">
        <v>45841.01515046296</v>
      </c>
      <c r="D128" s="1" t="s">
        <v>824</v>
      </c>
      <c r="F128" s="3">
        <f>IFERROR(__xludf.DUMMYFUNCTION("INT((DATE(INDEX(SPLIT(B128,""/| |:""),3), INDEX(SPLIT(B128,""/| |:""),2), INDEX(SPLIT(B128,""/| |:""),1)) + TIME(INDEX(SPLIT(B128,""/| |:""),4), INDEX(SPLIT(B128,""/| |:""),5), INDEX(SPLIT(B128,""/| |:""),6)) - DATE(1970,1,1)) * 86400)"),1.720570909E9)</f>
        <v>1720570909</v>
      </c>
      <c r="G128" s="3">
        <f>IFERROR(__xludf.DUMMYFUNCTION("INT((DATE(INDEX(SPLIT(C128,""/| |:""),3), INDEX(SPLIT(C128,""/| |:""),2), INDEX(SPLIT(C128,""/| |:""),1)) + TIME(INDEX(SPLIT(C128,""/| |:""),4), INDEX(SPLIT(C128,""/| |:""),5), INDEX(SPLIT(C128,""/| |:""),6)) - DATE(1970,1,1)) * 86400)"),1.741306909E9)</f>
        <v>1741306909</v>
      </c>
    </row>
    <row r="129">
      <c r="A129" s="1" t="s">
        <v>504</v>
      </c>
      <c r="B129" s="5">
        <v>45603.57059027778</v>
      </c>
      <c r="C129" s="7">
        <v>45872.57059027778</v>
      </c>
      <c r="D129" s="1" t="s">
        <v>825</v>
      </c>
      <c r="F129" s="3">
        <f>IFERROR(__xludf.DUMMYFUNCTION("INT((DATE(INDEX(SPLIT(B129,""/| |:""),3), INDEX(SPLIT(B129,""/| |:""),2), INDEX(SPLIT(B129,""/| |:""),1)) + TIME(INDEX(SPLIT(B129,""/| |:""),4), INDEX(SPLIT(B129,""/| |:""),5), INDEX(SPLIT(B129,""/| |:""),6)) - DATE(1970,1,1)) * 86400)"),1.720705299E9)</f>
        <v>1720705299</v>
      </c>
      <c r="G129" s="3">
        <f>IFERROR(__xludf.DUMMYFUNCTION("INT((DATE(INDEX(SPLIT(C129,""/| |:""),3), INDEX(SPLIT(C129,""/| |:""),2), INDEX(SPLIT(C129,""/| |:""),1)) + TIME(INDEX(SPLIT(C129,""/| |:""),4), INDEX(SPLIT(C129,""/| |:""),5), INDEX(SPLIT(C129,""/| |:""),6)) - DATE(1970,1,1)) * 86400)"),1.741441299E9)</f>
        <v>1741441299</v>
      </c>
    </row>
    <row r="130">
      <c r="A130" s="1" t="s">
        <v>93</v>
      </c>
      <c r="B130" s="5">
        <v>45633.58731481482</v>
      </c>
      <c r="C130" s="7">
        <v>45903.58731481482</v>
      </c>
      <c r="D130" s="1" t="s">
        <v>826</v>
      </c>
      <c r="F130" s="3">
        <f>IFERROR(__xludf.DUMMYFUNCTION("INT((DATE(INDEX(SPLIT(B130,""/| |:""),3), INDEX(SPLIT(B130,""/| |:""),2), INDEX(SPLIT(B130,""/| |:""),1)) + TIME(INDEX(SPLIT(B130,""/| |:""),4), INDEX(SPLIT(B130,""/| |:""),5), INDEX(SPLIT(B130,""/| |:""),6)) - DATE(1970,1,1)) * 86400)"),1.720793144E9)</f>
        <v>1720793144</v>
      </c>
      <c r="G130" s="3">
        <f>IFERROR(__xludf.DUMMYFUNCTION("INT((DATE(INDEX(SPLIT(C130,""/| |:""),3), INDEX(SPLIT(C130,""/| |:""),2), INDEX(SPLIT(C130,""/| |:""),1)) + TIME(INDEX(SPLIT(C130,""/| |:""),4), INDEX(SPLIT(C130,""/| |:""),5), INDEX(SPLIT(C130,""/| |:""),6)) - DATE(1970,1,1)) * 86400)"),1.741529144E9)</f>
        <v>1741529144</v>
      </c>
    </row>
    <row r="131">
      <c r="A131" s="1" t="s">
        <v>505</v>
      </c>
      <c r="B131" s="5" t="s">
        <v>827</v>
      </c>
      <c r="C131" s="7">
        <v>45994.1371875</v>
      </c>
      <c r="D131" s="1" t="s">
        <v>828</v>
      </c>
      <c r="F131" s="3">
        <f>IFERROR(__xludf.DUMMYFUNCTION("INT((DATE(INDEX(SPLIT(B131,""/| |:""),3), INDEX(SPLIT(B131,""/| |:""),2), INDEX(SPLIT(B131,""/| |:""),1)) + TIME(INDEX(SPLIT(B131,""/| |:""),4), INDEX(SPLIT(B131,""/| |:""),5), INDEX(SPLIT(B131,""/| |:""),6)) - DATE(1970,1,1)) * 86400)"),1.721013453E9)</f>
        <v>1721013453</v>
      </c>
      <c r="G131" s="3">
        <f>IFERROR(__xludf.DUMMYFUNCTION("INT((DATE(INDEX(SPLIT(C131,""/| |:""),3), INDEX(SPLIT(C131,""/| |:""),2), INDEX(SPLIT(C131,""/| |:""),1)) + TIME(INDEX(SPLIT(C131,""/| |:""),4), INDEX(SPLIT(C131,""/| |:""),5), INDEX(SPLIT(C131,""/| |:""),6)) - DATE(1970,1,1)) * 86400)"),1.741749453E9)</f>
        <v>1741749453</v>
      </c>
    </row>
    <row r="132">
      <c r="A132" s="1" t="s">
        <v>506</v>
      </c>
      <c r="B132" s="5" t="s">
        <v>829</v>
      </c>
      <c r="C132" s="7">
        <v>45994.31358796296</v>
      </c>
      <c r="D132" s="1" t="s">
        <v>830</v>
      </c>
      <c r="F132" s="3">
        <f>IFERROR(__xludf.DUMMYFUNCTION("INT((DATE(INDEX(SPLIT(B132,""/| |:""),3), INDEX(SPLIT(B132,""/| |:""),2), INDEX(SPLIT(B132,""/| |:""),1)) + TIME(INDEX(SPLIT(B132,""/| |:""),4), INDEX(SPLIT(B132,""/| |:""),5), INDEX(SPLIT(B132,""/| |:""),6)) - DATE(1970,1,1)) * 86400)"),1.721028694E9)</f>
        <v>1721028694</v>
      </c>
      <c r="G132" s="3">
        <f>IFERROR(__xludf.DUMMYFUNCTION("INT((DATE(INDEX(SPLIT(C132,""/| |:""),3), INDEX(SPLIT(C132,""/| |:""),2), INDEX(SPLIT(C132,""/| |:""),1)) + TIME(INDEX(SPLIT(C132,""/| |:""),4), INDEX(SPLIT(C132,""/| |:""),5), INDEX(SPLIT(C132,""/| |:""),6)) - DATE(1970,1,1)) * 86400)"),1.741764694E9)</f>
        <v>1741764694</v>
      </c>
    </row>
    <row r="133">
      <c r="A133" s="1" t="s">
        <v>121</v>
      </c>
      <c r="B133" s="5" t="s">
        <v>831</v>
      </c>
      <c r="C133" s="7">
        <v>45633.75408564815</v>
      </c>
      <c r="D133" s="1" t="s">
        <v>832</v>
      </c>
      <c r="F133" s="3">
        <f>IFERROR(__xludf.DUMMYFUNCTION("INT((DATE(INDEX(SPLIT(B133,""/| |:""),3), INDEX(SPLIT(B133,""/| |:""),2), INDEX(SPLIT(B133,""/| |:""),1)) + TIME(INDEX(SPLIT(B133,""/| |:""),4), INDEX(SPLIT(B133,""/| |:""),5), INDEX(SPLIT(B133,""/| |:""),6)) - DATE(1970,1,1)) * 86400)"),1.710439553E9)</f>
        <v>1710439553</v>
      </c>
      <c r="G133" s="3">
        <f>IFERROR(__xludf.DUMMYFUNCTION("INT((DATE(INDEX(SPLIT(C133,""/| |:""),3), INDEX(SPLIT(C133,""/| |:""),2), INDEX(SPLIT(C133,""/| |:""),1)) + TIME(INDEX(SPLIT(C133,""/| |:""),4), INDEX(SPLIT(C133,""/| |:""),5), INDEX(SPLIT(C133,""/| |:""),6)) - DATE(1970,1,1)) * 86400)"),1.720807553E9)</f>
        <v>1720807553</v>
      </c>
    </row>
    <row r="134">
      <c r="A134" s="1" t="s">
        <v>507</v>
      </c>
      <c r="B134" s="5">
        <v>45573.37260416667</v>
      </c>
      <c r="C134" s="7">
        <v>45842.37260416667</v>
      </c>
      <c r="D134" s="1" t="s">
        <v>833</v>
      </c>
      <c r="F134" s="3">
        <f>IFERROR(__xludf.DUMMYFUNCTION("INT((DATE(INDEX(SPLIT(B134,""/| |:""),3), INDEX(SPLIT(B134,""/| |:""),2), INDEX(SPLIT(B134,""/| |:""),1)) + TIME(INDEX(SPLIT(B134,""/| |:""),4), INDEX(SPLIT(B134,""/| |:""),5), INDEX(SPLIT(B134,""/| |:""),6)) - DATE(1970,1,1)) * 86400)"),1.723280193E9)</f>
        <v>1723280193</v>
      </c>
      <c r="G134" s="3">
        <f>IFERROR(__xludf.DUMMYFUNCTION("INT((DATE(INDEX(SPLIT(C134,""/| |:""),3), INDEX(SPLIT(C134,""/| |:""),2), INDEX(SPLIT(C134,""/| |:""),1)) + TIME(INDEX(SPLIT(C134,""/| |:""),4), INDEX(SPLIT(C134,""/| |:""),5), INDEX(SPLIT(C134,""/| |:""),6)) - DATE(1970,1,1)) * 86400)"),1.744016193E9)</f>
        <v>1744016193</v>
      </c>
    </row>
    <row r="135">
      <c r="A135" s="1" t="s">
        <v>75</v>
      </c>
      <c r="B135" s="5" t="s">
        <v>834</v>
      </c>
      <c r="C135" s="1" t="s">
        <v>835</v>
      </c>
      <c r="D135" s="1" t="s">
        <v>836</v>
      </c>
      <c r="F135" s="3">
        <f>IFERROR(__xludf.DUMMYFUNCTION("INT((DATE(INDEX(SPLIT(B135,""/| |:""),3), INDEX(SPLIT(B135,""/| |:""),2), INDEX(SPLIT(B135,""/| |:""),1)) + TIME(INDEX(SPLIT(B135,""/| |:""),4), INDEX(SPLIT(B135,""/| |:""),5), INDEX(SPLIT(B135,""/| |:""),6)) - DATE(1970,1,1)) * 86400)"),1.710916549E9)</f>
        <v>1710916549</v>
      </c>
      <c r="G135" s="3">
        <f>IFERROR(__xludf.DUMMYFUNCTION("INT((DATE(INDEX(SPLIT(C135,""/| |:""),3), INDEX(SPLIT(C135,""/| |:""),2), INDEX(SPLIT(C135,""/| |:""),1)) + TIME(INDEX(SPLIT(C135,""/| |:""),4), INDEX(SPLIT(C135,""/| |:""),5), INDEX(SPLIT(C135,""/| |:""),6)) - DATE(1970,1,1)) * 86400)"),1.721284549E9)</f>
        <v>1721284549</v>
      </c>
    </row>
    <row r="136">
      <c r="A136" s="1" t="s">
        <v>120</v>
      </c>
      <c r="B136" s="5" t="s">
        <v>837</v>
      </c>
      <c r="C136" s="1" t="s">
        <v>838</v>
      </c>
      <c r="D136" s="1" t="s">
        <v>839</v>
      </c>
      <c r="F136" s="3">
        <f>IFERROR(__xludf.DUMMYFUNCTION("INT((DATE(INDEX(SPLIT(B136,""/| |:""),3), INDEX(SPLIT(B136,""/| |:""),2), INDEX(SPLIT(B136,""/| |:""),1)) + TIME(INDEX(SPLIT(B136,""/| |:""),4), INDEX(SPLIT(B136,""/| |:""),5), INDEX(SPLIT(B136,""/| |:""),6)) - DATE(1970,1,1)) * 86400)"),1.710993697E9)</f>
        <v>1710993697</v>
      </c>
      <c r="G136" s="3">
        <f>IFERROR(__xludf.DUMMYFUNCTION("INT((DATE(INDEX(SPLIT(C136,""/| |:""),3), INDEX(SPLIT(C136,""/| |:""),2), INDEX(SPLIT(C136,""/| |:""),1)) + TIME(INDEX(SPLIT(C136,""/| |:""),4), INDEX(SPLIT(C136,""/| |:""),5), INDEX(SPLIT(C136,""/| |:""),6)) - DATE(1970,1,1)) * 86400)"),1.721361697E9)</f>
        <v>1721361697</v>
      </c>
    </row>
    <row r="137">
      <c r="A137" s="1" t="s">
        <v>352</v>
      </c>
      <c r="B137" s="5" t="s">
        <v>840</v>
      </c>
      <c r="C137" s="7">
        <v>45995.575844907406</v>
      </c>
      <c r="D137" s="1" t="s">
        <v>841</v>
      </c>
      <c r="F137" s="3">
        <f>IFERROR(__xludf.DUMMYFUNCTION("INT((DATE(INDEX(SPLIT(B137,""/| |:""),3), INDEX(SPLIT(B137,""/| |:""),2), INDEX(SPLIT(B137,""/| |:""),1)) + TIME(INDEX(SPLIT(B137,""/| |:""),4), INDEX(SPLIT(B137,""/| |:""),5), INDEX(SPLIT(B137,""/| |:""),6)) - DATE(1970,1,1)) * 86400)"),1.723729753E9)</f>
        <v>1723729753</v>
      </c>
      <c r="G137" s="3">
        <f>IFERROR(__xludf.DUMMYFUNCTION("INT((DATE(INDEX(SPLIT(C137,""/| |:""),3), INDEX(SPLIT(C137,""/| |:""),2), INDEX(SPLIT(C137,""/| |:""),1)) + TIME(INDEX(SPLIT(C137,""/| |:""),4), INDEX(SPLIT(C137,""/| |:""),5), INDEX(SPLIT(C137,""/| |:""),6)) - DATE(1970,1,1)) * 86400)"),1.744465753E9)</f>
        <v>1744465753</v>
      </c>
    </row>
    <row r="138">
      <c r="A138" s="1" t="s">
        <v>119</v>
      </c>
      <c r="B138" s="5" t="s">
        <v>842</v>
      </c>
      <c r="C138" s="1" t="s">
        <v>843</v>
      </c>
      <c r="D138" s="1" t="s">
        <v>844</v>
      </c>
      <c r="F138" s="3">
        <f>IFERROR(__xludf.DUMMYFUNCTION("INT((DATE(INDEX(SPLIT(B138,""/| |:""),3), INDEX(SPLIT(B138,""/| |:""),2), INDEX(SPLIT(B138,""/| |:""),1)) + TIME(INDEX(SPLIT(B138,""/| |:""),4), INDEX(SPLIT(B138,""/| |:""),5), INDEX(SPLIT(B138,""/| |:""),6)) - DATE(1970,1,1)) * 86400)"),1.711474408E9)</f>
        <v>1711474408</v>
      </c>
      <c r="G138" s="3">
        <f>IFERROR(__xludf.DUMMYFUNCTION("INT((DATE(INDEX(SPLIT(C138,""/| |:""),3), INDEX(SPLIT(C138,""/| |:""),2), INDEX(SPLIT(C138,""/| |:""),1)) + TIME(INDEX(SPLIT(C138,""/| |:""),4), INDEX(SPLIT(C138,""/| |:""),5), INDEX(SPLIT(C138,""/| |:""),6)) - DATE(1970,1,1)) * 86400)"),1.721842408E9)</f>
        <v>1721842408</v>
      </c>
    </row>
    <row r="139">
      <c r="A139" s="1" t="s">
        <v>47</v>
      </c>
      <c r="B139" s="5" t="s">
        <v>845</v>
      </c>
      <c r="C139" s="1" t="s">
        <v>846</v>
      </c>
      <c r="D139" s="1" t="s">
        <v>847</v>
      </c>
      <c r="F139" s="3">
        <f>IFERROR(__xludf.DUMMYFUNCTION("INT((DATE(INDEX(SPLIT(B139,""/| |:""),3), INDEX(SPLIT(B139,""/| |:""),2), INDEX(SPLIT(B139,""/| |:""),1)) + TIME(INDEX(SPLIT(B139,""/| |:""),4), INDEX(SPLIT(B139,""/| |:""),5), INDEX(SPLIT(B139,""/| |:""),6)) - DATE(1970,1,1)) * 86400)"),1.711664657E9)</f>
        <v>1711664657</v>
      </c>
      <c r="G139" s="3">
        <f>IFERROR(__xludf.DUMMYFUNCTION("INT((DATE(INDEX(SPLIT(C139,""/| |:""),3), INDEX(SPLIT(C139,""/| |:""),2), INDEX(SPLIT(C139,""/| |:""),1)) + TIME(INDEX(SPLIT(C139,""/| |:""),4), INDEX(SPLIT(C139,""/| |:""),5), INDEX(SPLIT(C139,""/| |:""),6)) - DATE(1970,1,1)) * 86400)"),1.722032657E9)</f>
        <v>1722032657</v>
      </c>
    </row>
    <row r="140">
      <c r="A140" s="1" t="s">
        <v>118</v>
      </c>
      <c r="B140" s="5" t="s">
        <v>848</v>
      </c>
      <c r="C140" s="1" t="s">
        <v>849</v>
      </c>
      <c r="D140" s="1" t="s">
        <v>850</v>
      </c>
      <c r="F140" s="3">
        <f>IFERROR(__xludf.DUMMYFUNCTION("INT((DATE(INDEX(SPLIT(B140,""/| |:""),3), INDEX(SPLIT(B140,""/| |:""),2), INDEX(SPLIT(B140,""/| |:""),1)) + TIME(INDEX(SPLIT(B140,""/| |:""),4), INDEX(SPLIT(B140,""/| |:""),5), INDEX(SPLIT(B140,""/| |:""),6)) - DATE(1970,1,1)) * 86400)"),1.711705457E9)</f>
        <v>1711705457</v>
      </c>
      <c r="G140" s="3">
        <f>IFERROR(__xludf.DUMMYFUNCTION("INT((DATE(INDEX(SPLIT(C140,""/| |:""),3), INDEX(SPLIT(C140,""/| |:""),2), INDEX(SPLIT(C140,""/| |:""),1)) + TIME(INDEX(SPLIT(C140,""/| |:""),4), INDEX(SPLIT(C140,""/| |:""),5), INDEX(SPLIT(C140,""/| |:""),6)) - DATE(1970,1,1)) * 86400)"),1.722073457E9)</f>
        <v>1722073457</v>
      </c>
    </row>
    <row r="141">
      <c r="A141" s="1" t="s">
        <v>117</v>
      </c>
      <c r="B141" s="5">
        <v>45295.05658564815</v>
      </c>
      <c r="C141" s="1" t="s">
        <v>851</v>
      </c>
      <c r="D141" s="1" t="s">
        <v>852</v>
      </c>
      <c r="F141" s="3">
        <f>IFERROR(__xludf.DUMMYFUNCTION("INT((DATE(INDEX(SPLIT(B141,""/| |:""),3), INDEX(SPLIT(B141,""/| |:""),2), INDEX(SPLIT(B141,""/| |:""),1)) + TIME(INDEX(SPLIT(B141,""/| |:""),4), INDEX(SPLIT(B141,""/| |:""),5), INDEX(SPLIT(B141,""/| |:""),6)) - DATE(1970,1,1)) * 86400)"),1.711934489E9)</f>
        <v>1711934489</v>
      </c>
      <c r="G141" s="3">
        <f>IFERROR(__xludf.DUMMYFUNCTION("INT((DATE(INDEX(SPLIT(C141,""/| |:""),3), INDEX(SPLIT(C141,""/| |:""),2), INDEX(SPLIT(C141,""/| |:""),1)) + TIME(INDEX(SPLIT(C141,""/| |:""),4), INDEX(SPLIT(C141,""/| |:""),5), INDEX(SPLIT(C141,""/| |:""),6)) - DATE(1970,1,1)) * 86400)"),1.722302489E9)</f>
        <v>1722302489</v>
      </c>
    </row>
    <row r="142">
      <c r="A142" s="1" t="s">
        <v>116</v>
      </c>
      <c r="B142" s="5">
        <v>45326.762766203705</v>
      </c>
      <c r="C142" s="1" t="s">
        <v>853</v>
      </c>
      <c r="D142" s="1" t="s">
        <v>854</v>
      </c>
      <c r="F142" s="3">
        <f>IFERROR(__xludf.DUMMYFUNCTION("INT((DATE(INDEX(SPLIT(B142,""/| |:""),3), INDEX(SPLIT(B142,""/| |:""),2), INDEX(SPLIT(B142,""/| |:""),1)) + TIME(INDEX(SPLIT(B142,""/| |:""),4), INDEX(SPLIT(B142,""/| |:""),5), INDEX(SPLIT(B142,""/| |:""),6)) - DATE(1970,1,1)) * 86400)"),1.712081903E9)</f>
        <v>1712081903</v>
      </c>
      <c r="G142" s="3">
        <f>IFERROR(__xludf.DUMMYFUNCTION("INT((DATE(INDEX(SPLIT(C142,""/| |:""),3), INDEX(SPLIT(C142,""/| |:""),2), INDEX(SPLIT(C142,""/| |:""),1)) + TIME(INDEX(SPLIT(C142,""/| |:""),4), INDEX(SPLIT(C142,""/| |:""),5), INDEX(SPLIT(C142,""/| |:""),6)) - DATE(1970,1,1)) * 86400)"),1.722449903E9)</f>
        <v>1722449903</v>
      </c>
    </row>
    <row r="143">
      <c r="A143" s="1" t="s">
        <v>115</v>
      </c>
      <c r="B143" s="5">
        <v>45386.66459490741</v>
      </c>
      <c r="C143" s="7">
        <v>45330.66459490741</v>
      </c>
      <c r="D143" s="1" t="s">
        <v>855</v>
      </c>
      <c r="F143" s="3">
        <f>IFERROR(__xludf.DUMMYFUNCTION("INT((DATE(INDEX(SPLIT(B143,""/| |:""),3), INDEX(SPLIT(B143,""/| |:""),2), INDEX(SPLIT(B143,""/| |:""),1)) + TIME(INDEX(SPLIT(B143,""/| |:""),4), INDEX(SPLIT(B143,""/| |:""),5), INDEX(SPLIT(B143,""/| |:""),6)) - DATE(1970,1,1)) * 86400)"),1.712246221E9)</f>
        <v>1712246221</v>
      </c>
      <c r="G143" s="3">
        <f>IFERROR(__xludf.DUMMYFUNCTION("INT((DATE(INDEX(SPLIT(C143,""/| |:""),3), INDEX(SPLIT(C143,""/| |:""),2), INDEX(SPLIT(C143,""/| |:""),1)) + TIME(INDEX(SPLIT(C143,""/| |:""),4), INDEX(SPLIT(C143,""/| |:""),5), INDEX(SPLIT(C143,""/| |:""),6)) - DATE(1970,1,1)) * 86400)"),1.722614221E9)</f>
        <v>1722614221</v>
      </c>
    </row>
    <row r="144">
      <c r="A144" s="1" t="s">
        <v>114</v>
      </c>
      <c r="B144" s="5">
        <v>45386.86582175926</v>
      </c>
      <c r="C144" s="7">
        <v>45330.86582175926</v>
      </c>
      <c r="D144" s="1" t="s">
        <v>856</v>
      </c>
      <c r="F144" s="3">
        <f>IFERROR(__xludf.DUMMYFUNCTION("INT((DATE(INDEX(SPLIT(B144,""/| |:""),3), INDEX(SPLIT(B144,""/| |:""),2), INDEX(SPLIT(B144,""/| |:""),1)) + TIME(INDEX(SPLIT(B144,""/| |:""),4), INDEX(SPLIT(B144,""/| |:""),5), INDEX(SPLIT(B144,""/| |:""),6)) - DATE(1970,1,1)) * 86400)"),1.712263607E9)</f>
        <v>1712263607</v>
      </c>
      <c r="G144" s="3">
        <f>IFERROR(__xludf.DUMMYFUNCTION("INT((DATE(INDEX(SPLIT(C144,""/| |:""),3), INDEX(SPLIT(C144,""/| |:""),2), INDEX(SPLIT(C144,""/| |:""),1)) + TIME(INDEX(SPLIT(C144,""/| |:""),4), INDEX(SPLIT(C144,""/| |:""),5), INDEX(SPLIT(C144,""/| |:""),6)) - DATE(1970,1,1)) * 86400)"),1.722631607E9)</f>
        <v>1722631607</v>
      </c>
    </row>
    <row r="145">
      <c r="A145" s="1" t="s">
        <v>113</v>
      </c>
      <c r="B145" s="5">
        <v>45416.73070601852</v>
      </c>
      <c r="C145" s="7">
        <v>45359.73070601852</v>
      </c>
      <c r="D145" s="1" t="s">
        <v>857</v>
      </c>
      <c r="F145" s="3">
        <f>IFERROR(__xludf.DUMMYFUNCTION("INT((DATE(INDEX(SPLIT(B145,""/| |:""),3), INDEX(SPLIT(B145,""/| |:""),2), INDEX(SPLIT(B145,""/| |:""),1)) + TIME(INDEX(SPLIT(B145,""/| |:""),4), INDEX(SPLIT(B145,""/| |:""),5), INDEX(SPLIT(B145,""/| |:""),6)) - DATE(1970,1,1)) * 86400)"),1.712338333E9)</f>
        <v>1712338333</v>
      </c>
      <c r="G145" s="3">
        <f>IFERROR(__xludf.DUMMYFUNCTION("INT((DATE(INDEX(SPLIT(C145,""/| |:""),3), INDEX(SPLIT(C145,""/| |:""),2), INDEX(SPLIT(C145,""/| |:""),1)) + TIME(INDEX(SPLIT(C145,""/| |:""),4), INDEX(SPLIT(C145,""/| |:""),5), INDEX(SPLIT(C145,""/| |:""),6)) - DATE(1970,1,1)) * 86400)"),1.722706333E9)</f>
        <v>1722706333</v>
      </c>
    </row>
    <row r="146">
      <c r="A146" s="1" t="s">
        <v>112</v>
      </c>
      <c r="B146" s="5">
        <v>45447.39336805556</v>
      </c>
      <c r="C146" s="7">
        <v>45390.39336805556</v>
      </c>
      <c r="D146" s="1" t="s">
        <v>858</v>
      </c>
      <c r="F146" s="3">
        <f>IFERROR(__xludf.DUMMYFUNCTION("INT((DATE(INDEX(SPLIT(B146,""/| |:""),3), INDEX(SPLIT(B146,""/| |:""),2), INDEX(SPLIT(B146,""/| |:""),1)) + TIME(INDEX(SPLIT(B146,""/| |:""),4), INDEX(SPLIT(B146,""/| |:""),5), INDEX(SPLIT(B146,""/| |:""),6)) - DATE(1970,1,1)) * 86400)"),1.712395587E9)</f>
        <v>1712395587</v>
      </c>
      <c r="G146" s="3">
        <f>IFERROR(__xludf.DUMMYFUNCTION("INT((DATE(INDEX(SPLIT(C146,""/| |:""),3), INDEX(SPLIT(C146,""/| |:""),2), INDEX(SPLIT(C146,""/| |:""),1)) + TIME(INDEX(SPLIT(C146,""/| |:""),4), INDEX(SPLIT(C146,""/| |:""),5), INDEX(SPLIT(C146,""/| |:""),6)) - DATE(1970,1,1)) * 86400)"),1.722763587E9)</f>
        <v>1722763587</v>
      </c>
    </row>
    <row r="147">
      <c r="A147" s="1" t="s">
        <v>76</v>
      </c>
      <c r="B147" s="5" t="s">
        <v>859</v>
      </c>
      <c r="C147" s="1" t="s">
        <v>860</v>
      </c>
      <c r="D147" s="1" t="s">
        <v>861</v>
      </c>
      <c r="F147" s="3">
        <f>IFERROR(__xludf.DUMMYFUNCTION("INT((DATE(INDEX(SPLIT(B147,""/| |:""),3), INDEX(SPLIT(B147,""/| |:""),2), INDEX(SPLIT(B147,""/| |:""),1)) + TIME(INDEX(SPLIT(B147,""/| |:""),4), INDEX(SPLIT(B147,""/| |:""),5), INDEX(SPLIT(B147,""/| |:""),6)) - DATE(1970,1,1)) * 86400)"),1.716274919E9)</f>
        <v>1716274919</v>
      </c>
      <c r="G147" s="3">
        <f>IFERROR(__xludf.DUMMYFUNCTION("INT((DATE(INDEX(SPLIT(C147,""/| |:""),3), INDEX(SPLIT(C147,""/| |:""),2), INDEX(SPLIT(C147,""/| |:""),1)) + TIME(INDEX(SPLIT(C147,""/| |:""),4), INDEX(SPLIT(C147,""/| |:""),5), INDEX(SPLIT(C147,""/| |:""),6)) - DATE(1970,1,1)) * 86400)"),1.726642919E9)</f>
        <v>1726642919</v>
      </c>
    </row>
    <row r="148">
      <c r="A148" s="1" t="s">
        <v>77</v>
      </c>
      <c r="B148" s="5" t="s">
        <v>862</v>
      </c>
      <c r="C148" s="1" t="s">
        <v>863</v>
      </c>
      <c r="D148" s="1" t="s">
        <v>861</v>
      </c>
      <c r="F148" s="3">
        <f>IFERROR(__xludf.DUMMYFUNCTION("INT((DATE(INDEX(SPLIT(B148,""/| |:""),3), INDEX(SPLIT(B148,""/| |:""),2), INDEX(SPLIT(B148,""/| |:""),1)) + TIME(INDEX(SPLIT(B148,""/| |:""),4), INDEX(SPLIT(B148,""/| |:""),5), INDEX(SPLIT(B148,""/| |:""),6)) - DATE(1970,1,1)) * 86400)"),1.716038773E9)</f>
        <v>1716038773</v>
      </c>
      <c r="G148" s="3">
        <f>IFERROR(__xludf.DUMMYFUNCTION("INT((DATE(INDEX(SPLIT(C148,""/| |:""),3), INDEX(SPLIT(C148,""/| |:""),2), INDEX(SPLIT(C148,""/| |:""),1)) + TIME(INDEX(SPLIT(C148,""/| |:""),4), INDEX(SPLIT(C148,""/| |:""),5), INDEX(SPLIT(C148,""/| |:""),6)) - DATE(1970,1,1)) * 86400)"),1.726406773E9)</f>
        <v>1726406773</v>
      </c>
    </row>
    <row r="149">
      <c r="A149" s="1" t="s">
        <v>77</v>
      </c>
      <c r="B149" s="5" t="s">
        <v>864</v>
      </c>
      <c r="C149" s="1" t="s">
        <v>865</v>
      </c>
      <c r="D149" s="1" t="s">
        <v>861</v>
      </c>
      <c r="F149" s="3">
        <f>IFERROR(__xludf.DUMMYFUNCTION("INT((DATE(INDEX(SPLIT(B149,""/| |:""),3), INDEX(SPLIT(B149,""/| |:""),2), INDEX(SPLIT(B149,""/| |:""),1)) + TIME(INDEX(SPLIT(B149,""/| |:""),4), INDEX(SPLIT(B149,""/| |:""),5), INDEX(SPLIT(B149,""/| |:""),6)) - DATE(1970,1,1)) * 86400)"),1.71603854E9)</f>
        <v>1716038540</v>
      </c>
      <c r="G149" s="3">
        <f>IFERROR(__xludf.DUMMYFUNCTION("INT((DATE(INDEX(SPLIT(C149,""/| |:""),3), INDEX(SPLIT(C149,""/| |:""),2), INDEX(SPLIT(C149,""/| |:""),1)) + TIME(INDEX(SPLIT(C149,""/| |:""),4), INDEX(SPLIT(C149,""/| |:""),5), INDEX(SPLIT(C149,""/| |:""),6)) - DATE(1970,1,1)) * 86400)"),1.72640654E9)</f>
        <v>1726406540</v>
      </c>
    </row>
    <row r="150">
      <c r="A150" s="1" t="s">
        <v>77</v>
      </c>
      <c r="B150" s="5" t="s">
        <v>866</v>
      </c>
      <c r="C150" s="1" t="s">
        <v>867</v>
      </c>
      <c r="D150" s="1" t="s">
        <v>861</v>
      </c>
      <c r="F150" s="3">
        <f>IFERROR(__xludf.DUMMYFUNCTION("INT((DATE(INDEX(SPLIT(B150,""/| |:""),3), INDEX(SPLIT(B150,""/| |:""),2), INDEX(SPLIT(B150,""/| |:""),1)) + TIME(INDEX(SPLIT(B150,""/| |:""),4), INDEX(SPLIT(B150,""/| |:""),5), INDEX(SPLIT(B150,""/| |:""),6)) - DATE(1970,1,1)) * 86400)"),1.716038413E9)</f>
        <v>1716038413</v>
      </c>
      <c r="G150" s="3">
        <f>IFERROR(__xludf.DUMMYFUNCTION("INT((DATE(INDEX(SPLIT(C150,""/| |:""),3), INDEX(SPLIT(C150,""/| |:""),2), INDEX(SPLIT(C150,""/| |:""),1)) + TIME(INDEX(SPLIT(C150,""/| |:""),4), INDEX(SPLIT(C150,""/| |:""),5), INDEX(SPLIT(C150,""/| |:""),6)) - DATE(1970,1,1)) * 86400)"),1.726406413E9)</f>
        <v>1726406413</v>
      </c>
    </row>
    <row r="151">
      <c r="A151" s="1" t="s">
        <v>78</v>
      </c>
      <c r="B151" s="5" t="s">
        <v>868</v>
      </c>
      <c r="C151" s="7">
        <v>45574.1150462963</v>
      </c>
      <c r="D151" s="1" t="s">
        <v>861</v>
      </c>
      <c r="F151" s="3">
        <f>IFERROR(__xludf.DUMMYFUNCTION("INT((DATE(INDEX(SPLIT(B151,""/| |:""),3), INDEX(SPLIT(B151,""/| |:""),2), INDEX(SPLIT(B151,""/| |:""),1)) + TIME(INDEX(SPLIT(B151,""/| |:""),4), INDEX(SPLIT(B151,""/| |:""),5), INDEX(SPLIT(B151,""/| |:""),6)) - DATE(1970,1,1)) * 86400)"),1.71556834E9)</f>
        <v>1715568340</v>
      </c>
      <c r="G151" s="3">
        <f>IFERROR(__xludf.DUMMYFUNCTION("INT((DATE(INDEX(SPLIT(C151,""/| |:""),3), INDEX(SPLIT(C151,""/| |:""),2), INDEX(SPLIT(C151,""/| |:""),1)) + TIME(INDEX(SPLIT(C151,""/| |:""),4), INDEX(SPLIT(C151,""/| |:""),5), INDEX(SPLIT(C151,""/| |:""),6)) - DATE(1970,1,1)) * 86400)"),1.72593634E9)</f>
        <v>1725936340</v>
      </c>
    </row>
    <row r="152">
      <c r="A152" s="1" t="s">
        <v>78</v>
      </c>
      <c r="B152" s="5" t="s">
        <v>869</v>
      </c>
      <c r="C152" s="7">
        <v>45574.11377314815</v>
      </c>
      <c r="D152" s="1" t="s">
        <v>861</v>
      </c>
      <c r="F152" s="3">
        <f>IFERROR(__xludf.DUMMYFUNCTION("INT((DATE(INDEX(SPLIT(B152,""/| |:""),3), INDEX(SPLIT(B152,""/| |:""),2), INDEX(SPLIT(B152,""/| |:""),1)) + TIME(INDEX(SPLIT(B152,""/| |:""),4), INDEX(SPLIT(B152,""/| |:""),5), INDEX(SPLIT(B152,""/| |:""),6)) - DATE(1970,1,1)) * 86400)"),1.71556823E9)</f>
        <v>1715568230</v>
      </c>
      <c r="G152" s="3">
        <f>IFERROR(__xludf.DUMMYFUNCTION("INT((DATE(INDEX(SPLIT(C152,""/| |:""),3), INDEX(SPLIT(C152,""/| |:""),2), INDEX(SPLIT(C152,""/| |:""),1)) + TIME(INDEX(SPLIT(C152,""/| |:""),4), INDEX(SPLIT(C152,""/| |:""),5), INDEX(SPLIT(C152,""/| |:""),6)) - DATE(1970,1,1)) * 86400)"),1.72593623E9)</f>
        <v>1725936230</v>
      </c>
    </row>
    <row r="153">
      <c r="A153" s="1" t="s">
        <v>78</v>
      </c>
      <c r="B153" s="5" t="s">
        <v>870</v>
      </c>
      <c r="C153" s="7">
        <v>45574.10780092593</v>
      </c>
      <c r="D153" s="1" t="s">
        <v>861</v>
      </c>
      <c r="F153" s="3">
        <f>IFERROR(__xludf.DUMMYFUNCTION("INT((DATE(INDEX(SPLIT(B153,""/| |:""),3), INDEX(SPLIT(B153,""/| |:""),2), INDEX(SPLIT(B153,""/| |:""),1)) + TIME(INDEX(SPLIT(B153,""/| |:""),4), INDEX(SPLIT(B153,""/| |:""),5), INDEX(SPLIT(B153,""/| |:""),6)) - DATE(1970,1,1)) * 86400)"),1.715567714E9)</f>
        <v>1715567714</v>
      </c>
      <c r="G153" s="3">
        <f>IFERROR(__xludf.DUMMYFUNCTION("INT((DATE(INDEX(SPLIT(C153,""/| |:""),3), INDEX(SPLIT(C153,""/| |:""),2), INDEX(SPLIT(C153,""/| |:""),1)) + TIME(INDEX(SPLIT(C153,""/| |:""),4), INDEX(SPLIT(C153,""/| |:""),5), INDEX(SPLIT(C153,""/| |:""),6)) - DATE(1970,1,1)) * 86400)"),1.725935714E9)</f>
        <v>1725935714</v>
      </c>
    </row>
    <row r="154">
      <c r="A154" s="1" t="s">
        <v>79</v>
      </c>
      <c r="B154" s="5">
        <v>45601.11039351852</v>
      </c>
      <c r="C154" s="7">
        <v>45513.11039351852</v>
      </c>
      <c r="D154" s="1" t="s">
        <v>861</v>
      </c>
      <c r="F154" s="3">
        <f>IFERROR(__xludf.DUMMYFUNCTION("INT((DATE(INDEX(SPLIT(B154,""/| |:""),3), INDEX(SPLIT(B154,""/| |:""),2), INDEX(SPLIT(B154,""/| |:""),1)) + TIME(INDEX(SPLIT(B154,""/| |:""),4), INDEX(SPLIT(B154,""/| |:""),5), INDEX(SPLIT(B154,""/| |:""),6)) - DATE(1970,1,1)) * 86400)"),1.715395138E9)</f>
        <v>1715395138</v>
      </c>
      <c r="G154" s="3">
        <f>IFERROR(__xludf.DUMMYFUNCTION("INT((DATE(INDEX(SPLIT(C154,""/| |:""),3), INDEX(SPLIT(C154,""/| |:""),2), INDEX(SPLIT(C154,""/| |:""),1)) + TIME(INDEX(SPLIT(C154,""/| |:""),4), INDEX(SPLIT(C154,""/| |:""),5), INDEX(SPLIT(C154,""/| |:""),6)) - DATE(1970,1,1)) * 86400)"),1.725763138E9)</f>
        <v>1725763138</v>
      </c>
    </row>
    <row r="155">
      <c r="A155" s="1" t="s">
        <v>80</v>
      </c>
      <c r="B155" s="5">
        <v>45387.590844907405</v>
      </c>
      <c r="C155" s="7">
        <v>45300.590844907405</v>
      </c>
      <c r="D155" s="1" t="s">
        <v>861</v>
      </c>
      <c r="F155" s="3">
        <f>IFERROR(__xludf.DUMMYFUNCTION("INT((DATE(INDEX(SPLIT(B155,""/| |:""),3), INDEX(SPLIT(B155,""/| |:""),2), INDEX(SPLIT(B155,""/| |:""),1)) + TIME(INDEX(SPLIT(B155,""/| |:""),4), INDEX(SPLIT(B155,""/| |:""),5), INDEX(SPLIT(B155,""/| |:""),6)) - DATE(1970,1,1)) * 86400)"),1.714831849E9)</f>
        <v>1714831849</v>
      </c>
      <c r="G155" s="3">
        <f>IFERROR(__xludf.DUMMYFUNCTION("INT((DATE(INDEX(SPLIT(C155,""/| |:""),3), INDEX(SPLIT(C155,""/| |:""),2), INDEX(SPLIT(C155,""/| |:""),1)) + TIME(INDEX(SPLIT(C155,""/| |:""),4), INDEX(SPLIT(C155,""/| |:""),5), INDEX(SPLIT(C155,""/| |:""),6)) - DATE(1970,1,1)) * 86400)"),1.725199849E9)</f>
        <v>1725199849</v>
      </c>
    </row>
    <row r="156">
      <c r="A156" s="1" t="s">
        <v>81</v>
      </c>
      <c r="B156" s="5">
        <v>45327.35878472222</v>
      </c>
      <c r="C156" s="1" t="s">
        <v>871</v>
      </c>
      <c r="D156" s="1" t="s">
        <v>861</v>
      </c>
      <c r="F156" s="3">
        <f>IFERROR(__xludf.DUMMYFUNCTION("INT((DATE(INDEX(SPLIT(B156,""/| |:""),3), INDEX(SPLIT(B156,""/| |:""),2), INDEX(SPLIT(B156,""/| |:""),1)) + TIME(INDEX(SPLIT(B156,""/| |:""),4), INDEX(SPLIT(B156,""/| |:""),5), INDEX(SPLIT(B156,""/| |:""),6)) - DATE(1970,1,1)) * 86400)"),1.714638999E9)</f>
        <v>1714638999</v>
      </c>
      <c r="G156" s="3">
        <f>IFERROR(__xludf.DUMMYFUNCTION("INT((DATE(INDEX(SPLIT(C156,""/| |:""),3), INDEX(SPLIT(C156,""/| |:""),2), INDEX(SPLIT(C156,""/| |:""),1)) + TIME(INDEX(SPLIT(C156,""/| |:""),4), INDEX(SPLIT(C156,""/| |:""),5), INDEX(SPLIT(C156,""/| |:""),6)) - DATE(1970,1,1)) * 86400)"),1.725006999E9)</f>
        <v>1725006999</v>
      </c>
    </row>
    <row r="157">
      <c r="A157" s="1" t="s">
        <v>82</v>
      </c>
      <c r="B157" s="5" t="s">
        <v>872</v>
      </c>
      <c r="C157" s="1" t="s">
        <v>873</v>
      </c>
      <c r="D157" s="1" t="s">
        <v>861</v>
      </c>
      <c r="F157" s="3">
        <f>IFERROR(__xludf.DUMMYFUNCTION("INT((DATE(INDEX(SPLIT(B157,""/| |:""),3), INDEX(SPLIT(B157,""/| |:""),2), INDEX(SPLIT(B157,""/| |:""),1)) + TIME(INDEX(SPLIT(B157,""/| |:""),4), INDEX(SPLIT(B157,""/| |:""),5), INDEX(SPLIT(B157,""/| |:""),6)) - DATE(1970,1,1)) * 86400)"),1.714520252E9)</f>
        <v>1714520252</v>
      </c>
      <c r="G157" s="3">
        <f>IFERROR(__xludf.DUMMYFUNCTION("INT((DATE(INDEX(SPLIT(C157,""/| |:""),3), INDEX(SPLIT(C157,""/| |:""),2), INDEX(SPLIT(C157,""/| |:""),1)) + TIME(INDEX(SPLIT(C157,""/| |:""),4), INDEX(SPLIT(C157,""/| |:""),5), INDEX(SPLIT(C157,""/| |:""),6)) - DATE(1970,1,1)) * 86400)"),1.724888252E9)</f>
        <v>1724888252</v>
      </c>
    </row>
    <row r="158">
      <c r="A158" s="1" t="s">
        <v>105</v>
      </c>
      <c r="B158" s="5" t="s">
        <v>874</v>
      </c>
      <c r="C158" s="1" t="s">
        <v>875</v>
      </c>
      <c r="D158" s="1" t="s">
        <v>861</v>
      </c>
      <c r="F158" s="3">
        <f>IFERROR(__xludf.DUMMYFUNCTION("INT((DATE(INDEX(SPLIT(B158,""/| |:""),3), INDEX(SPLIT(B158,""/| |:""),2), INDEX(SPLIT(B158,""/| |:""),1)) + TIME(INDEX(SPLIT(B158,""/| |:""),4), INDEX(SPLIT(B158,""/| |:""),5), INDEX(SPLIT(B158,""/| |:""),6)) - DATE(1970,1,1)) * 86400)"),1.713639066E9)</f>
        <v>1713639066</v>
      </c>
      <c r="G158" s="3">
        <f>IFERROR(__xludf.DUMMYFUNCTION("INT((DATE(INDEX(SPLIT(C158,""/| |:""),3), INDEX(SPLIT(C158,""/| |:""),2), INDEX(SPLIT(C158,""/| |:""),1)) + TIME(INDEX(SPLIT(C158,""/| |:""),4), INDEX(SPLIT(C158,""/| |:""),5), INDEX(SPLIT(C158,""/| |:""),6)) - DATE(1970,1,1)) * 86400)"),1.724007066E9)</f>
        <v>1724007066</v>
      </c>
    </row>
    <row r="159">
      <c r="A159" s="1" t="s">
        <v>60</v>
      </c>
      <c r="B159" s="5" t="s">
        <v>876</v>
      </c>
      <c r="C159" s="1" t="s">
        <v>877</v>
      </c>
      <c r="D159" s="1" t="s">
        <v>861</v>
      </c>
      <c r="F159" s="3">
        <f>IFERROR(__xludf.DUMMYFUNCTION("INT((DATE(INDEX(SPLIT(B159,""/| |:""),3), INDEX(SPLIT(B159,""/| |:""),2), INDEX(SPLIT(B159,""/| |:""),1)) + TIME(INDEX(SPLIT(B159,""/| |:""),4), INDEX(SPLIT(B159,""/| |:""),5), INDEX(SPLIT(B159,""/| |:""),6)) - DATE(1970,1,1)) * 86400)"),1.713622552E9)</f>
        <v>1713622552</v>
      </c>
      <c r="G159" s="3">
        <f>IFERROR(__xludf.DUMMYFUNCTION("INT((DATE(INDEX(SPLIT(C159,""/| |:""),3), INDEX(SPLIT(C159,""/| |:""),2), INDEX(SPLIT(C159,""/| |:""),1)) + TIME(INDEX(SPLIT(C159,""/| |:""),4), INDEX(SPLIT(C159,""/| |:""),5), INDEX(SPLIT(C159,""/| |:""),6)) - DATE(1970,1,1)) * 86400)"),1.723990552E9)</f>
        <v>1723990552</v>
      </c>
    </row>
    <row r="160">
      <c r="A160" s="1" t="s">
        <v>106</v>
      </c>
      <c r="B160" s="5" t="s">
        <v>878</v>
      </c>
      <c r="C160" s="1" t="s">
        <v>879</v>
      </c>
      <c r="D160" s="1" t="s">
        <v>861</v>
      </c>
      <c r="F160" s="3">
        <f>IFERROR(__xludf.DUMMYFUNCTION("INT((DATE(INDEX(SPLIT(B160,""/| |:""),3), INDEX(SPLIT(B160,""/| |:""),2), INDEX(SPLIT(B160,""/| |:""),1)) + TIME(INDEX(SPLIT(B160,""/| |:""),4), INDEX(SPLIT(B160,""/| |:""),5), INDEX(SPLIT(B160,""/| |:""),6)) - DATE(1970,1,1)) * 86400)"),1.713618654E9)</f>
        <v>1713618654</v>
      </c>
      <c r="G160" s="3">
        <f>IFERROR(__xludf.DUMMYFUNCTION("INT((DATE(INDEX(SPLIT(C160,""/| |:""),3), INDEX(SPLIT(C160,""/| |:""),2), INDEX(SPLIT(C160,""/| |:""),1)) + TIME(INDEX(SPLIT(C160,""/| |:""),4), INDEX(SPLIT(C160,""/| |:""),5), INDEX(SPLIT(C160,""/| |:""),6)) - DATE(1970,1,1)) * 86400)"),1.723986654E9)</f>
        <v>1723986654</v>
      </c>
    </row>
    <row r="161">
      <c r="A161" s="1" t="s">
        <v>107</v>
      </c>
      <c r="B161" s="5" t="s">
        <v>880</v>
      </c>
      <c r="C161" s="1" t="s">
        <v>881</v>
      </c>
      <c r="D161" s="1" t="s">
        <v>861</v>
      </c>
      <c r="F161" s="3">
        <f>IFERROR(__xludf.DUMMYFUNCTION("INT((DATE(INDEX(SPLIT(B161,""/| |:""),3), INDEX(SPLIT(B161,""/| |:""),2), INDEX(SPLIT(B161,""/| |:""),1)) + TIME(INDEX(SPLIT(B161,""/| |:""),4), INDEX(SPLIT(B161,""/| |:""),5), INDEX(SPLIT(B161,""/| |:""),6)) - DATE(1970,1,1)) * 86400)"),1.713611746E9)</f>
        <v>1713611746</v>
      </c>
      <c r="G161" s="3">
        <f>IFERROR(__xludf.DUMMYFUNCTION("INT((DATE(INDEX(SPLIT(C161,""/| |:""),3), INDEX(SPLIT(C161,""/| |:""),2), INDEX(SPLIT(C161,""/| |:""),1)) + TIME(INDEX(SPLIT(C161,""/| |:""),4), INDEX(SPLIT(C161,""/| |:""),5), INDEX(SPLIT(C161,""/| |:""),6)) - DATE(1970,1,1)) * 86400)"),1.723979746E9)</f>
        <v>1723979746</v>
      </c>
    </row>
    <row r="162">
      <c r="A162" s="1" t="s">
        <v>108</v>
      </c>
      <c r="B162" s="5" t="s">
        <v>882</v>
      </c>
      <c r="C162" s="1" t="s">
        <v>883</v>
      </c>
      <c r="D162" s="1" t="s">
        <v>861</v>
      </c>
      <c r="F162" s="3">
        <f>IFERROR(__xludf.DUMMYFUNCTION("INT((DATE(INDEX(SPLIT(B162,""/| |:""),3), INDEX(SPLIT(B162,""/| |:""),2), INDEX(SPLIT(B162,""/| |:""),1)) + TIME(INDEX(SPLIT(B162,""/| |:""),4), INDEX(SPLIT(B162,""/| |:""),5), INDEX(SPLIT(B162,""/| |:""),6)) - DATE(1970,1,1)) * 86400)"),1.713550294E9)</f>
        <v>1713550294</v>
      </c>
      <c r="G162" s="3">
        <f>IFERROR(__xludf.DUMMYFUNCTION("INT((DATE(INDEX(SPLIT(C162,""/| |:""),3), INDEX(SPLIT(C162,""/| |:""),2), INDEX(SPLIT(C162,""/| |:""),1)) + TIME(INDEX(SPLIT(C162,""/| |:""),4), INDEX(SPLIT(C162,""/| |:""),5), INDEX(SPLIT(C162,""/| |:""),6)) - DATE(1970,1,1)) * 86400)"),1.723918294E9)</f>
        <v>1723918294</v>
      </c>
    </row>
    <row r="163">
      <c r="A163" s="1" t="s">
        <v>109</v>
      </c>
      <c r="B163" s="5" t="s">
        <v>884</v>
      </c>
      <c r="C163" s="1" t="s">
        <v>885</v>
      </c>
      <c r="D163" s="1" t="s">
        <v>861</v>
      </c>
      <c r="F163" s="3">
        <f>IFERROR(__xludf.DUMMYFUNCTION("INT((DATE(INDEX(SPLIT(B163,""/| |:""),3), INDEX(SPLIT(B163,""/| |:""),2), INDEX(SPLIT(B163,""/| |:""),1)) + TIME(INDEX(SPLIT(B163,""/| |:""),4), INDEX(SPLIT(B163,""/| |:""),5), INDEX(SPLIT(B163,""/| |:""),6)) - DATE(1970,1,1)) * 86400)"),1.713390007E9)</f>
        <v>1713390007</v>
      </c>
      <c r="G163" s="3">
        <f>IFERROR(__xludf.DUMMYFUNCTION("INT((DATE(INDEX(SPLIT(C163,""/| |:""),3), INDEX(SPLIT(C163,""/| |:""),2), INDEX(SPLIT(C163,""/| |:""),1)) + TIME(INDEX(SPLIT(C163,""/| |:""),4), INDEX(SPLIT(C163,""/| |:""),5), INDEX(SPLIT(C163,""/| |:""),6)) - DATE(1970,1,1)) * 86400)"),1.723758007E9)</f>
        <v>1723758007</v>
      </c>
    </row>
    <row r="164">
      <c r="A164" s="1" t="s">
        <v>64</v>
      </c>
      <c r="B164" s="5" t="s">
        <v>886</v>
      </c>
      <c r="C164" s="1" t="s">
        <v>887</v>
      </c>
      <c r="D164" s="1" t="s">
        <v>861</v>
      </c>
      <c r="F164" s="3">
        <f>IFERROR(__xludf.DUMMYFUNCTION("INT((DATE(INDEX(SPLIT(B164,""/| |:""),3), INDEX(SPLIT(B164,""/| |:""),2), INDEX(SPLIT(B164,""/| |:""),1)) + TIME(INDEX(SPLIT(B164,""/| |:""),4), INDEX(SPLIT(B164,""/| |:""),5), INDEX(SPLIT(B164,""/| |:""),6)) - DATE(1970,1,1)) * 86400)"),1.713388825E9)</f>
        <v>1713388825</v>
      </c>
      <c r="G164" s="3">
        <f>IFERROR(__xludf.DUMMYFUNCTION("INT((DATE(INDEX(SPLIT(C164,""/| |:""),3), INDEX(SPLIT(C164,""/| |:""),2), INDEX(SPLIT(C164,""/| |:""),1)) + TIME(INDEX(SPLIT(C164,""/| |:""),4), INDEX(SPLIT(C164,""/| |:""),5), INDEX(SPLIT(C164,""/| |:""),6)) - DATE(1970,1,1)) * 86400)"),1.723756825E9)</f>
        <v>1723756825</v>
      </c>
    </row>
    <row r="165">
      <c r="A165" s="1" t="s">
        <v>110</v>
      </c>
      <c r="B165" s="5" t="s">
        <v>888</v>
      </c>
      <c r="C165" s="1" t="s">
        <v>889</v>
      </c>
      <c r="D165" s="1" t="s">
        <v>861</v>
      </c>
      <c r="F165" s="3">
        <f>IFERROR(__xludf.DUMMYFUNCTION("INT((DATE(INDEX(SPLIT(B165,""/| |:""),3), INDEX(SPLIT(B165,""/| |:""),2), INDEX(SPLIT(B165,""/| |:""),1)) + TIME(INDEX(SPLIT(B165,""/| |:""),4), INDEX(SPLIT(B165,""/| |:""),5), INDEX(SPLIT(B165,""/| |:""),6)) - DATE(1970,1,1)) * 86400)"),1.713380272E9)</f>
        <v>1713380272</v>
      </c>
      <c r="G165" s="3">
        <f>IFERROR(__xludf.DUMMYFUNCTION("INT((DATE(INDEX(SPLIT(C165,""/| |:""),3), INDEX(SPLIT(C165,""/| |:""),2), INDEX(SPLIT(C165,""/| |:""),1)) + TIME(INDEX(SPLIT(C165,""/| |:""),4), INDEX(SPLIT(C165,""/| |:""),5), INDEX(SPLIT(C165,""/| |:""),6)) - DATE(1970,1,1)) * 86400)"),1.723748272E9)</f>
        <v>1723748272</v>
      </c>
    </row>
    <row r="166">
      <c r="A166" s="1" t="s">
        <v>123</v>
      </c>
      <c r="B166" s="5" t="s">
        <v>890</v>
      </c>
      <c r="C166" s="7">
        <v>45604.49270833333</v>
      </c>
      <c r="D166" s="1" t="s">
        <v>861</v>
      </c>
      <c r="F166" s="3">
        <f>IFERROR(__xludf.DUMMYFUNCTION("INT((DATE(INDEX(SPLIT(B166,""/| |:""),3), INDEX(SPLIT(B166,""/| |:""),2), INDEX(SPLIT(B166,""/| |:""),1)) + TIME(INDEX(SPLIT(B166,""/| |:""),4), INDEX(SPLIT(B166,""/| |:""),5), INDEX(SPLIT(B166,""/| |:""),6)) - DATE(1970,1,1)) * 86400)"),1.71300897E9)</f>
        <v>1713008970</v>
      </c>
      <c r="G166" s="3">
        <f>IFERROR(__xludf.DUMMYFUNCTION("INT((DATE(INDEX(SPLIT(C166,""/| |:""),3), INDEX(SPLIT(C166,""/| |:""),2), INDEX(SPLIT(C166,""/| |:""),1)) + TIME(INDEX(SPLIT(C166,""/| |:""),4), INDEX(SPLIT(C166,""/| |:""),5), INDEX(SPLIT(C166,""/| |:""),6)) - DATE(1970,1,1)) * 86400)"),1.72337697E9)</f>
        <v>1723376970</v>
      </c>
    </row>
    <row r="167">
      <c r="A167" s="1" t="s">
        <v>111</v>
      </c>
      <c r="B167" s="5">
        <v>45508.510659722226</v>
      </c>
      <c r="C167" s="7">
        <v>45451.510659722226</v>
      </c>
      <c r="D167" s="1" t="s">
        <v>861</v>
      </c>
      <c r="F167" s="3">
        <f>IFERROR(__xludf.DUMMYFUNCTION("INT((DATE(INDEX(SPLIT(B167,""/| |:""),3), INDEX(SPLIT(B167,""/| |:""),2), INDEX(SPLIT(B167,""/| |:""),1)) + TIME(INDEX(SPLIT(B167,""/| |:""),4), INDEX(SPLIT(B167,""/| |:""),5), INDEX(SPLIT(B167,""/| |:""),6)) - DATE(1970,1,1)) * 86400)"),1.712578521E9)</f>
        <v>1712578521</v>
      </c>
      <c r="G167" s="3">
        <f>IFERROR(__xludf.DUMMYFUNCTION("INT((DATE(INDEX(SPLIT(C167,""/| |:""),3), INDEX(SPLIT(C167,""/| |:""),2), INDEX(SPLIT(C167,""/| |:""),1)) + TIME(INDEX(SPLIT(C167,""/| |:""),4), INDEX(SPLIT(C167,""/| |:""),5), INDEX(SPLIT(C167,""/| |:""),6)) - DATE(1970,1,1)) * 86400)"),1.722946521E9)</f>
        <v>1722946521</v>
      </c>
    </row>
    <row r="168">
      <c r="A168" s="1" t="s">
        <v>75</v>
      </c>
      <c r="B168" s="5" t="s">
        <v>891</v>
      </c>
      <c r="C168" s="1" t="s">
        <v>892</v>
      </c>
      <c r="D168" s="1" t="s">
        <v>893</v>
      </c>
      <c r="F168" s="3">
        <f>IFERROR(__xludf.DUMMYFUNCTION("INT((DATE(INDEX(SPLIT(B168,""/| |:""),3), INDEX(SPLIT(B168,""/| |:""),2), INDEX(SPLIT(B168,""/| |:""),1)) + TIME(INDEX(SPLIT(B168,""/| |:""),4), INDEX(SPLIT(B168,""/| |:""),5), INDEX(SPLIT(B168,""/| |:""),6)) - DATE(1970,1,1)) * 86400)"),1.716329807E9)</f>
        <v>1716329807</v>
      </c>
      <c r="G168" s="3">
        <f>IFERROR(__xludf.DUMMYFUNCTION("INT((DATE(INDEX(SPLIT(C168,""/| |:""),3), INDEX(SPLIT(C168,""/| |:""),2), INDEX(SPLIT(C168,""/| |:""),1)) + TIME(INDEX(SPLIT(C168,""/| |:""),4), INDEX(SPLIT(C168,""/| |:""),5), INDEX(SPLIT(C168,""/| |:""),6)) - DATE(1970,1,1)) * 86400)"),1.726697807E9)</f>
        <v>1726697807</v>
      </c>
    </row>
    <row r="169">
      <c r="A169" s="1" t="s">
        <v>72</v>
      </c>
      <c r="B169" s="5" t="s">
        <v>894</v>
      </c>
      <c r="C169" s="1" t="s">
        <v>895</v>
      </c>
      <c r="D169" s="1">
        <v>34.391</v>
      </c>
      <c r="F169" s="3">
        <f>IFERROR(__xludf.DUMMYFUNCTION("INT((DATE(INDEX(SPLIT(B169,""/| |:""),3), INDEX(SPLIT(B169,""/| |:""),2), INDEX(SPLIT(B169,""/| |:""),1)) + TIME(INDEX(SPLIT(B169,""/| |:""),4), INDEX(SPLIT(B169,""/| |:""),5), INDEX(SPLIT(B169,""/| |:""),6)) - DATE(1970,1,1)) * 86400)"),1.718776347E9)</f>
        <v>1718776347</v>
      </c>
      <c r="G169" s="3">
        <f>IFERROR(__xludf.DUMMYFUNCTION("INT((DATE(INDEX(SPLIT(C169,""/| |:""),3), INDEX(SPLIT(C169,""/| |:""),2), INDEX(SPLIT(C169,""/| |:""),1)) + TIME(INDEX(SPLIT(C169,""/| |:""),4), INDEX(SPLIT(C169,""/| |:""),5), INDEX(SPLIT(C169,""/| |:""),6)) - DATE(1970,1,1)) * 86400)"),1.729144347E9)</f>
        <v>1729144347</v>
      </c>
    </row>
    <row r="170">
      <c r="A170" s="1" t="s">
        <v>72</v>
      </c>
      <c r="B170" s="5" t="s">
        <v>896</v>
      </c>
      <c r="C170" s="1" t="s">
        <v>897</v>
      </c>
      <c r="D170" s="1">
        <v>34.391</v>
      </c>
      <c r="F170" s="3">
        <f>IFERROR(__xludf.DUMMYFUNCTION("INT((DATE(INDEX(SPLIT(B170,""/| |:""),3), INDEX(SPLIT(B170,""/| |:""),2), INDEX(SPLIT(B170,""/| |:""),1)) + TIME(INDEX(SPLIT(B170,""/| |:""),4), INDEX(SPLIT(B170,""/| |:""),5), INDEX(SPLIT(B170,""/| |:""),6)) - DATE(1970,1,1)) * 86400)"),1.718776292E9)</f>
        <v>1718776292</v>
      </c>
      <c r="G170" s="3">
        <f>IFERROR(__xludf.DUMMYFUNCTION("INT((DATE(INDEX(SPLIT(C170,""/| |:""),3), INDEX(SPLIT(C170,""/| |:""),2), INDEX(SPLIT(C170,""/| |:""),1)) + TIME(INDEX(SPLIT(C170,""/| |:""),4), INDEX(SPLIT(C170,""/| |:""),5), INDEX(SPLIT(C170,""/| |:""),6)) - DATE(1970,1,1)) * 86400)"),1.729144292E9)</f>
        <v>1729144292</v>
      </c>
    </row>
    <row r="171">
      <c r="A171" s="1" t="s">
        <v>74</v>
      </c>
      <c r="B171" s="5">
        <v>45328.54571759259</v>
      </c>
      <c r="C171" s="1" t="s">
        <v>898</v>
      </c>
      <c r="D171" s="1" t="s">
        <v>899</v>
      </c>
      <c r="F171" s="3">
        <f>IFERROR(__xludf.DUMMYFUNCTION("INT((DATE(INDEX(SPLIT(B171,""/| |:""),3), INDEX(SPLIT(B171,""/| |:""),2), INDEX(SPLIT(B171,""/| |:""),1)) + TIME(INDEX(SPLIT(B171,""/| |:""),4), INDEX(SPLIT(B171,""/| |:""),5), INDEX(SPLIT(B171,""/| |:""),6)) - DATE(1970,1,1)) * 86400)"),1.71733355E9)</f>
        <v>1717333550</v>
      </c>
      <c r="G171" s="3">
        <f>IFERROR(__xludf.DUMMYFUNCTION("INT((DATE(INDEX(SPLIT(C171,""/| |:""),3), INDEX(SPLIT(C171,""/| |:""),2), INDEX(SPLIT(C171,""/| |:""),1)) + TIME(INDEX(SPLIT(C171,""/| |:""),4), INDEX(SPLIT(C171,""/| |:""),5), INDEX(SPLIT(C171,""/| |:""),6)) - DATE(1970,1,1)) * 86400)"),1.72770155E9)</f>
        <v>1727701550</v>
      </c>
    </row>
    <row r="172">
      <c r="A172" s="1" t="s">
        <v>463</v>
      </c>
      <c r="B172" s="5">
        <v>45118.80710648148</v>
      </c>
      <c r="C172" s="7">
        <v>45414.80710648148</v>
      </c>
      <c r="D172" s="1" t="s">
        <v>900</v>
      </c>
      <c r="F172" s="3">
        <f>IFERROR(__xludf.DUMMYFUNCTION("INT((DATE(INDEX(SPLIT(B172,""/| |:""),3), INDEX(SPLIT(B172,""/| |:""),2), INDEX(SPLIT(B172,""/| |:""),1)) + TIME(INDEX(SPLIT(B172,""/| |:""),4), INDEX(SPLIT(B172,""/| |:""),5), INDEX(SPLIT(B172,""/| |:""),6)) - DATE(1970,1,1)) * 86400)"),1.699384934E9)</f>
        <v>1699384934</v>
      </c>
      <c r="G172" s="3">
        <f>IFERROR(__xludf.DUMMYFUNCTION("INT((DATE(INDEX(SPLIT(C172,""/| |:""),3), INDEX(SPLIT(C172,""/| |:""),2), INDEX(SPLIT(C172,""/| |:""),1)) + TIME(INDEX(SPLIT(C172,""/| |:""),4), INDEX(SPLIT(C172,""/| |:""),5), INDEX(SPLIT(C172,""/| |:""),6)) - DATE(1970,1,1)) * 86400)"),1.707160934E9)</f>
        <v>1707160934</v>
      </c>
    </row>
    <row r="173">
      <c r="A173" s="1" t="s">
        <v>477</v>
      </c>
      <c r="B173" s="5">
        <v>44968.51159722222</v>
      </c>
      <c r="C173" s="1" t="s">
        <v>901</v>
      </c>
      <c r="D173" s="1" t="s">
        <v>900</v>
      </c>
      <c r="F173" s="3">
        <f>IFERROR(__xludf.DUMMYFUNCTION("INT((DATE(INDEX(SPLIT(B173,""/| |:""),3), INDEX(SPLIT(B173,""/| |:""),2), INDEX(SPLIT(B173,""/| |:""),1)) + TIME(INDEX(SPLIT(B173,""/| |:""),4), INDEX(SPLIT(B173,""/| |:""),5), INDEX(SPLIT(B173,""/| |:""),6)) - DATE(1970,1,1)) * 86400)"),1.698927402E9)</f>
        <v>1698927402</v>
      </c>
      <c r="G173" s="3">
        <f>IFERROR(__xludf.DUMMYFUNCTION("INT((DATE(INDEX(SPLIT(C173,""/| |:""),3), INDEX(SPLIT(C173,""/| |:""),2), INDEX(SPLIT(C173,""/| |:""),1)) + TIME(INDEX(SPLIT(C173,""/| |:""),4), INDEX(SPLIT(C173,""/| |:""),5), INDEX(SPLIT(C173,""/| |:""),6)) - DATE(1970,1,1)) * 86400)"),1.706703402E9)</f>
        <v>1706703402</v>
      </c>
    </row>
    <row r="174">
      <c r="A174" s="1" t="s">
        <v>73</v>
      </c>
      <c r="B174" s="5" t="s">
        <v>902</v>
      </c>
      <c r="C174" s="6">
        <v>45606.49820601852</v>
      </c>
      <c r="D174" s="1" t="s">
        <v>903</v>
      </c>
      <c r="F174" s="3">
        <f>IFERROR(__xludf.DUMMYFUNCTION("INT((DATE(INDEX(SPLIT(B174,""/| |:""),3), INDEX(SPLIT(B174,""/| |:""),2), INDEX(SPLIT(B174,""/| |:""),1)) + TIME(INDEX(SPLIT(B174,""/| |:""),4), INDEX(SPLIT(B174,""/| |:""),5), INDEX(SPLIT(B174,""/| |:""),6)) - DATE(1970,1,1)) * 86400)"),1.718279845E9)</f>
        <v>1718279845</v>
      </c>
      <c r="G174" s="3">
        <f>IFERROR(__xludf.DUMMYFUNCTION("INT((DATE(INDEX(SPLIT(C174,""/| |:""),3), INDEX(SPLIT(C174,""/| |:""),2), INDEX(SPLIT(C174,""/| |:""),1)) + TIME(INDEX(SPLIT(C174,""/| |:""),4), INDEX(SPLIT(C174,""/| |:""),5), INDEX(SPLIT(C174,""/| |:""),6)) - DATE(1970,1,1)) * 86400)"),1.728647845E9)</f>
        <v>1728647845</v>
      </c>
    </row>
    <row r="175">
      <c r="A175" s="1" t="s">
        <v>171</v>
      </c>
      <c r="B175" s="5" t="s">
        <v>904</v>
      </c>
      <c r="C175" s="1" t="s">
        <v>905</v>
      </c>
      <c r="D175" s="1" t="s">
        <v>906</v>
      </c>
      <c r="F175" s="3">
        <f>IFERROR(__xludf.DUMMYFUNCTION("INT((DATE(INDEX(SPLIT(B175,""/| |:""),3), INDEX(SPLIT(B175,""/| |:""),2), INDEX(SPLIT(B175,""/| |:""),1)) + TIME(INDEX(SPLIT(B175,""/| |:""),4), INDEX(SPLIT(B175,""/| |:""),5), INDEX(SPLIT(B175,""/| |:""),6)) - DATE(1970,1,1)) * 86400)"),1.703676236E9)</f>
        <v>1703676236</v>
      </c>
      <c r="G175" s="3">
        <f>IFERROR(__xludf.DUMMYFUNCTION("INT((DATE(INDEX(SPLIT(C175,""/| |:""),3), INDEX(SPLIT(C175,""/| |:""),2), INDEX(SPLIT(C175,""/| |:""),1)) + TIME(INDEX(SPLIT(C175,""/| |:""),4), INDEX(SPLIT(C175,""/| |:""),5), INDEX(SPLIT(C175,""/| |:""),6)) - DATE(1970,1,1)) * 86400)"),1.711452236E9)</f>
        <v>1711452236</v>
      </c>
    </row>
    <row r="176">
      <c r="A176" s="1" t="s">
        <v>478</v>
      </c>
      <c r="B176" s="5" t="s">
        <v>907</v>
      </c>
      <c r="C176" s="1" t="s">
        <v>908</v>
      </c>
      <c r="D176" s="1" t="s">
        <v>909</v>
      </c>
      <c r="F176" s="3">
        <f>IFERROR(__xludf.DUMMYFUNCTION("INT((DATE(INDEX(SPLIT(B176,""/| |:""),3), INDEX(SPLIT(B176,""/| |:""),2), INDEX(SPLIT(B176,""/| |:""),1)) + TIME(INDEX(SPLIT(B176,""/| |:""),4), INDEX(SPLIT(B176,""/| |:""),5), INDEX(SPLIT(B176,""/| |:""),6)) - DATE(1970,1,1)) * 86400)"),1.697976968E9)</f>
        <v>1697976968</v>
      </c>
      <c r="G176" s="3">
        <f>IFERROR(__xludf.DUMMYFUNCTION("INT((DATE(INDEX(SPLIT(C176,""/| |:""),3), INDEX(SPLIT(C176,""/| |:""),2), INDEX(SPLIT(C176,""/| |:""),1)) + TIME(INDEX(SPLIT(C176,""/| |:""),4), INDEX(SPLIT(C176,""/| |:""),5), INDEX(SPLIT(C176,""/| |:""),6)) - DATE(1970,1,1)) * 86400)"),1.705752968E9)</f>
        <v>1705752968</v>
      </c>
    </row>
    <row r="177">
      <c r="A177" s="1" t="s">
        <v>483</v>
      </c>
      <c r="B177" s="5" t="s">
        <v>910</v>
      </c>
      <c r="C177" s="1" t="s">
        <v>911</v>
      </c>
      <c r="D177" s="1" t="s">
        <v>912</v>
      </c>
      <c r="F177" s="3">
        <f>IFERROR(__xludf.DUMMYFUNCTION("INT((DATE(INDEX(SPLIT(B177,""/| |:""),3), INDEX(SPLIT(B177,""/| |:""),2), INDEX(SPLIT(B177,""/| |:""),1)) + TIME(INDEX(SPLIT(B177,""/| |:""),4), INDEX(SPLIT(B177,""/| |:""),5), INDEX(SPLIT(B177,""/| |:""),6)) - DATE(1970,1,1)) * 86400)"),1.703855899E9)</f>
        <v>1703855899</v>
      </c>
      <c r="G177" s="3">
        <f>IFERROR(__xludf.DUMMYFUNCTION("INT((DATE(INDEX(SPLIT(C177,""/| |:""),3), INDEX(SPLIT(C177,""/| |:""),2), INDEX(SPLIT(C177,""/| |:""),1)) + TIME(INDEX(SPLIT(C177,""/| |:""),4), INDEX(SPLIT(C177,""/| |:""),5), INDEX(SPLIT(C177,""/| |:""),6)) - DATE(1970,1,1)) * 86400)"),1.711631899E9)</f>
        <v>1711631899</v>
      </c>
    </row>
    <row r="178">
      <c r="A178" s="1" t="s">
        <v>482</v>
      </c>
      <c r="B178" s="5" t="s">
        <v>913</v>
      </c>
      <c r="C178" s="1" t="s">
        <v>914</v>
      </c>
      <c r="D178" s="1" t="s">
        <v>912</v>
      </c>
      <c r="F178" s="3">
        <f>IFERROR(__xludf.DUMMYFUNCTION("INT((DATE(INDEX(SPLIT(B178,""/| |:""),3), INDEX(SPLIT(B178,""/| |:""),2), INDEX(SPLIT(B178,""/| |:""),1)) + TIME(INDEX(SPLIT(B178,""/| |:""),4), INDEX(SPLIT(B178,""/| |:""),5), INDEX(SPLIT(B178,""/| |:""),6)) - DATE(1970,1,1)) * 86400)"),1.703326359E9)</f>
        <v>1703326359</v>
      </c>
      <c r="G178" s="3">
        <f>IFERROR(__xludf.DUMMYFUNCTION("INT((DATE(INDEX(SPLIT(C178,""/| |:""),3), INDEX(SPLIT(C178,""/| |:""),2), INDEX(SPLIT(C178,""/| |:""),1)) + TIME(INDEX(SPLIT(C178,""/| |:""),4), INDEX(SPLIT(C178,""/| |:""),5), INDEX(SPLIT(C178,""/| |:""),6)) - DATE(1970,1,1)) * 86400)"),1.711102359E9)</f>
        <v>1711102359</v>
      </c>
    </row>
    <row r="179">
      <c r="A179" s="1" t="s">
        <v>481</v>
      </c>
      <c r="B179" s="5" t="s">
        <v>915</v>
      </c>
      <c r="C179" s="1" t="s">
        <v>916</v>
      </c>
      <c r="D179" s="1" t="s">
        <v>912</v>
      </c>
      <c r="F179" s="3">
        <f>IFERROR(__xludf.DUMMYFUNCTION("INT((DATE(INDEX(SPLIT(B179,""/| |:""),3), INDEX(SPLIT(B179,""/| |:""),2), INDEX(SPLIT(B179,""/| |:""),1)) + TIME(INDEX(SPLIT(B179,""/| |:""),4), INDEX(SPLIT(B179,""/| |:""),5), INDEX(SPLIT(B179,""/| |:""),6)) - DATE(1970,1,1)) * 86400)"),1.700322358E9)</f>
        <v>1700322358</v>
      </c>
      <c r="G179" s="3">
        <f>IFERROR(__xludf.DUMMYFUNCTION("INT((DATE(INDEX(SPLIT(C179,""/| |:""),3), INDEX(SPLIT(C179,""/| |:""),2), INDEX(SPLIT(C179,""/| |:""),1)) + TIME(INDEX(SPLIT(C179,""/| |:""),4), INDEX(SPLIT(C179,""/| |:""),5), INDEX(SPLIT(C179,""/| |:""),6)) - DATE(1970,1,1)) * 86400)"),1.708098358E9)</f>
        <v>1708098358</v>
      </c>
    </row>
    <row r="180">
      <c r="A180" s="1" t="s">
        <v>479</v>
      </c>
      <c r="B180" s="5">
        <v>45149.66903935185</v>
      </c>
      <c r="C180" s="7">
        <v>45445.66903935185</v>
      </c>
      <c r="D180" s="1" t="s">
        <v>912</v>
      </c>
      <c r="F180" s="3">
        <f>IFERROR(__xludf.DUMMYFUNCTION("INT((DATE(INDEX(SPLIT(B180,""/| |:""),3), INDEX(SPLIT(B180,""/| |:""),2), INDEX(SPLIT(B180,""/| |:""),1)) + TIME(INDEX(SPLIT(B180,""/| |:""),4), INDEX(SPLIT(B180,""/| |:""),5), INDEX(SPLIT(B180,""/| |:""),6)) - DATE(1970,1,1)) * 86400)"),1.699459405E9)</f>
        <v>1699459405</v>
      </c>
      <c r="G180" s="3">
        <f>IFERROR(__xludf.DUMMYFUNCTION("INT((DATE(INDEX(SPLIT(C180,""/| |:""),3), INDEX(SPLIT(C180,""/| |:""),2), INDEX(SPLIT(C180,""/| |:""),1)) + TIME(INDEX(SPLIT(C180,""/| |:""),4), INDEX(SPLIT(C180,""/| |:""),5), INDEX(SPLIT(C180,""/| |:""),6)) - DATE(1970,1,1)) * 86400)"),1.707235405E9)</f>
        <v>1707235405</v>
      </c>
    </row>
    <row r="181">
      <c r="A181" s="1" t="s">
        <v>167</v>
      </c>
      <c r="B181" s="5">
        <v>44968.524201388886</v>
      </c>
      <c r="C181" s="1" t="s">
        <v>917</v>
      </c>
      <c r="D181" s="1" t="s">
        <v>912</v>
      </c>
      <c r="F181" s="3">
        <f>IFERROR(__xludf.DUMMYFUNCTION("INT((DATE(INDEX(SPLIT(B181,""/| |:""),3), INDEX(SPLIT(B181,""/| |:""),2), INDEX(SPLIT(B181,""/| |:""),1)) + TIME(INDEX(SPLIT(B181,""/| |:""),4), INDEX(SPLIT(B181,""/| |:""),5), INDEX(SPLIT(B181,""/| |:""),6)) - DATE(1970,1,1)) * 86400)"),1.698928491E9)</f>
        <v>1698928491</v>
      </c>
      <c r="G181" s="3">
        <f>IFERROR(__xludf.DUMMYFUNCTION("INT((DATE(INDEX(SPLIT(C181,""/| |:""),3), INDEX(SPLIT(C181,""/| |:""),2), INDEX(SPLIT(C181,""/| |:""),1)) + TIME(INDEX(SPLIT(C181,""/| |:""),4), INDEX(SPLIT(C181,""/| |:""),5), INDEX(SPLIT(C181,""/| |:""),6)) - DATE(1970,1,1)) * 86400)"),1.706704491E9)</f>
        <v>1706704491</v>
      </c>
    </row>
    <row r="182">
      <c r="A182" s="1" t="s">
        <v>480</v>
      </c>
      <c r="B182" s="5" t="s">
        <v>918</v>
      </c>
      <c r="C182" s="1" t="s">
        <v>919</v>
      </c>
      <c r="D182" s="1" t="s">
        <v>912</v>
      </c>
      <c r="F182" s="3">
        <f>IFERROR(__xludf.DUMMYFUNCTION("INT((DATE(INDEX(SPLIT(B182,""/| |:""),3), INDEX(SPLIT(B182,""/| |:""),2), INDEX(SPLIT(B182,""/| |:""),1)) + TIME(INDEX(SPLIT(B182,""/| |:""),4), INDEX(SPLIT(B182,""/| |:""),5), INDEX(SPLIT(B182,""/| |:""),6)) - DATE(1970,1,1)) * 86400)"),1.697960901E9)</f>
        <v>1697960901</v>
      </c>
      <c r="G182" s="3">
        <f>IFERROR(__xludf.DUMMYFUNCTION("INT((DATE(INDEX(SPLIT(C182,""/| |:""),3), INDEX(SPLIT(C182,""/| |:""),2), INDEX(SPLIT(C182,""/| |:""),1)) + TIME(INDEX(SPLIT(C182,""/| |:""),4), INDEX(SPLIT(C182,""/| |:""),5), INDEX(SPLIT(C182,""/| |:""),6)) - DATE(1970,1,1)) * 86400)"),1.705736901E9)</f>
        <v>1705736901</v>
      </c>
    </row>
    <row r="183">
      <c r="A183" s="1" t="s">
        <v>462</v>
      </c>
      <c r="B183" s="5" t="s">
        <v>920</v>
      </c>
      <c r="C183" s="1" t="s">
        <v>921</v>
      </c>
      <c r="D183" s="1" t="s">
        <v>912</v>
      </c>
      <c r="F183" s="3">
        <f>IFERROR(__xludf.DUMMYFUNCTION("INT((DATE(INDEX(SPLIT(B183,""/| |:""),3), INDEX(SPLIT(B183,""/| |:""),2), INDEX(SPLIT(B183,""/| |:""),1)) + TIME(INDEX(SPLIT(B183,""/| |:""),4), INDEX(SPLIT(B183,""/| |:""),5), INDEX(SPLIT(B183,""/| |:""),6)) - DATE(1970,1,1)) * 86400)"),1.697881095E9)</f>
        <v>1697881095</v>
      </c>
      <c r="G183" s="3">
        <f>IFERROR(__xludf.DUMMYFUNCTION("INT((DATE(INDEX(SPLIT(C183,""/| |:""),3), INDEX(SPLIT(C183,""/| |:""),2), INDEX(SPLIT(C183,""/| |:""),1)) + TIME(INDEX(SPLIT(C183,""/| |:""),4), INDEX(SPLIT(C183,""/| |:""),5), INDEX(SPLIT(C183,""/| |:""),6)) - DATE(1970,1,1)) * 86400)"),1.705657095E9)</f>
        <v>1705657095</v>
      </c>
    </row>
    <row r="184">
      <c r="A184" s="1" t="s">
        <v>128</v>
      </c>
      <c r="B184" s="5">
        <v>45294.661770833336</v>
      </c>
      <c r="C184" s="1" t="s">
        <v>922</v>
      </c>
      <c r="D184" s="1" t="s">
        <v>923</v>
      </c>
      <c r="F184" s="3">
        <f>IFERROR(__xludf.DUMMYFUNCTION("INT((DATE(INDEX(SPLIT(B184,""/| |:""),3), INDEX(SPLIT(B184,""/| |:""),2), INDEX(SPLIT(B184,""/| |:""),1)) + TIME(INDEX(SPLIT(B184,""/| |:""),4), INDEX(SPLIT(B184,""/| |:""),5), INDEX(SPLIT(B184,""/| |:""),6)) - DATE(1970,1,1)) * 86400)"),1.709308377E9)</f>
        <v>1709308377</v>
      </c>
      <c r="G184" s="3">
        <f>IFERROR(__xludf.DUMMYFUNCTION("INT((DATE(INDEX(SPLIT(C184,""/| |:""),3), INDEX(SPLIT(C184,""/| |:""),2), INDEX(SPLIT(C184,""/| |:""),1)) + TIME(INDEX(SPLIT(C184,""/| |:""),4), INDEX(SPLIT(C184,""/| |:""),5), INDEX(SPLIT(C184,""/| |:""),6)) - DATE(1970,1,1)) * 86400)"),1.717084377E9)</f>
        <v>1717084377</v>
      </c>
    </row>
    <row r="185">
      <c r="A185" s="1" t="s">
        <v>127</v>
      </c>
      <c r="B185" s="5">
        <v>45294.75996527778</v>
      </c>
      <c r="C185" s="1" t="s">
        <v>924</v>
      </c>
      <c r="D185" s="1" t="s">
        <v>925</v>
      </c>
      <c r="F185" s="3">
        <f>IFERROR(__xludf.DUMMYFUNCTION("INT((DATE(INDEX(SPLIT(B185,""/| |:""),3), INDEX(SPLIT(B185,""/| |:""),2), INDEX(SPLIT(B185,""/| |:""),1)) + TIME(INDEX(SPLIT(B185,""/| |:""),4), INDEX(SPLIT(B185,""/| |:""),5), INDEX(SPLIT(B185,""/| |:""),6)) - DATE(1970,1,1)) * 86400)"),1.709316861E9)</f>
        <v>1709316861</v>
      </c>
      <c r="G185" s="3">
        <f>IFERROR(__xludf.DUMMYFUNCTION("INT((DATE(INDEX(SPLIT(C185,""/| |:""),3), INDEX(SPLIT(C185,""/| |:""),2), INDEX(SPLIT(C185,""/| |:""),1)) + TIME(INDEX(SPLIT(C185,""/| |:""),4), INDEX(SPLIT(C185,""/| |:""),5), INDEX(SPLIT(C185,""/| |:""),6)) - DATE(1970,1,1)) * 86400)"),1.717092861E9)</f>
        <v>1717092861</v>
      </c>
    </row>
    <row r="186">
      <c r="A186" s="1" t="s">
        <v>126</v>
      </c>
      <c r="B186" s="5">
        <v>45354.39096064815</v>
      </c>
      <c r="C186" s="7">
        <v>45297.39096064815</v>
      </c>
      <c r="D186" s="1" t="s">
        <v>926</v>
      </c>
      <c r="F186" s="3">
        <f>IFERROR(__xludf.DUMMYFUNCTION("INT((DATE(INDEX(SPLIT(B186,""/| |:""),3), INDEX(SPLIT(B186,""/| |:""),2), INDEX(SPLIT(B186,""/| |:""),1)) + TIME(INDEX(SPLIT(B186,""/| |:""),4), INDEX(SPLIT(B186,""/| |:""),5), INDEX(SPLIT(B186,""/| |:""),6)) - DATE(1970,1,1)) * 86400)"),1.709457779E9)</f>
        <v>1709457779</v>
      </c>
      <c r="G186" s="3">
        <f>IFERROR(__xludf.DUMMYFUNCTION("INT((DATE(INDEX(SPLIT(C186,""/| |:""),3), INDEX(SPLIT(C186,""/| |:""),2), INDEX(SPLIT(C186,""/| |:""),1)) + TIME(INDEX(SPLIT(C186,""/| |:""),4), INDEX(SPLIT(C186,""/| |:""),5), INDEX(SPLIT(C186,""/| |:""),6)) - DATE(1970,1,1)) * 86400)"),1.717233779E9)</f>
        <v>1717233779</v>
      </c>
    </row>
    <row r="187">
      <c r="A187" s="1" t="s">
        <v>125</v>
      </c>
      <c r="B187" s="5">
        <v>45446.67778935185</v>
      </c>
      <c r="C187" s="7">
        <v>45388.67778935185</v>
      </c>
      <c r="D187" s="1" t="s">
        <v>927</v>
      </c>
      <c r="F187" s="3">
        <f>IFERROR(__xludf.DUMMYFUNCTION("INT((DATE(INDEX(SPLIT(B187,""/| |:""),3), INDEX(SPLIT(B187,""/| |:""),2), INDEX(SPLIT(B187,""/| |:""),1)) + TIME(INDEX(SPLIT(B187,""/| |:""),4), INDEX(SPLIT(B187,""/| |:""),5), INDEX(SPLIT(B187,""/| |:""),6)) - DATE(1970,1,1)) * 86400)"),1.709741761E9)</f>
        <v>1709741761</v>
      </c>
      <c r="G187" s="3">
        <f>IFERROR(__xludf.DUMMYFUNCTION("INT((DATE(INDEX(SPLIT(C187,""/| |:""),3), INDEX(SPLIT(C187,""/| |:""),2), INDEX(SPLIT(C187,""/| |:""),1)) + TIME(INDEX(SPLIT(C187,""/| |:""),4), INDEX(SPLIT(C187,""/| |:""),5), INDEX(SPLIT(C187,""/| |:""),6)) - DATE(1970,1,1)) * 86400)"),1.717517761E9)</f>
        <v>1717517761</v>
      </c>
    </row>
    <row r="188">
      <c r="A188" s="1" t="s">
        <v>124</v>
      </c>
      <c r="B188" s="5" t="s">
        <v>928</v>
      </c>
      <c r="C188" s="7">
        <v>45632.55405092592</v>
      </c>
      <c r="D188" s="1" t="s">
        <v>929</v>
      </c>
      <c r="F188" s="3">
        <f>IFERROR(__xludf.DUMMYFUNCTION("INT((DATE(INDEX(SPLIT(B188,""/| |:""),3), INDEX(SPLIT(B188,""/| |:""),2), INDEX(SPLIT(B188,""/| |:""),1)) + TIME(INDEX(SPLIT(B188,""/| |:""),4), INDEX(SPLIT(B188,""/| |:""),5), INDEX(SPLIT(B188,""/| |:""),6)) - DATE(1970,1,1)) * 86400)"),1.71042227E9)</f>
        <v>1710422270</v>
      </c>
      <c r="G188" s="3">
        <f>IFERROR(__xludf.DUMMYFUNCTION("INT((DATE(INDEX(SPLIT(C188,""/| |:""),3), INDEX(SPLIT(C188,""/| |:""),2), INDEX(SPLIT(C188,""/| |:""),1)) + TIME(INDEX(SPLIT(C188,""/| |:""),4), INDEX(SPLIT(C188,""/| |:""),5), INDEX(SPLIT(C188,""/| |:""),6)) - DATE(1970,1,1)) * 86400)"),1.71819827E9)</f>
        <v>1718198270</v>
      </c>
    </row>
    <row r="189">
      <c r="A189" s="1" t="s">
        <v>161</v>
      </c>
      <c r="B189" s="5">
        <v>45119.70438657407</v>
      </c>
      <c r="C189" s="7">
        <v>45414.70438657407</v>
      </c>
      <c r="D189" s="1" t="s">
        <v>930</v>
      </c>
      <c r="F189" s="3">
        <f>IFERROR(__xludf.DUMMYFUNCTION("INT((DATE(INDEX(SPLIT(B189,""/| |:""),3), INDEX(SPLIT(B189,""/| |:""),2), INDEX(SPLIT(B189,""/| |:""),1)) + TIME(INDEX(SPLIT(B189,""/| |:""),4), INDEX(SPLIT(B189,""/| |:""),5), INDEX(SPLIT(B189,""/| |:""),6)) - DATE(1970,1,1)) * 86400)"),1.701968059E9)</f>
        <v>1701968059</v>
      </c>
      <c r="G189" s="3">
        <f>IFERROR(__xludf.DUMMYFUNCTION("INT((DATE(INDEX(SPLIT(C189,""/| |:""),3), INDEX(SPLIT(C189,""/| |:""),2), INDEX(SPLIT(C189,""/| |:""),1)) + TIME(INDEX(SPLIT(C189,""/| |:""),4), INDEX(SPLIT(C189,""/| |:""),5), INDEX(SPLIT(C189,""/| |:""),6)) - DATE(1970,1,1)) * 86400)"),1.707152059E9)</f>
        <v>1707152059</v>
      </c>
    </row>
    <row r="190">
      <c r="A190" s="1" t="s">
        <v>452</v>
      </c>
      <c r="B190" s="5" t="s">
        <v>931</v>
      </c>
      <c r="C190" s="1" t="s">
        <v>932</v>
      </c>
      <c r="D190" s="1" t="s">
        <v>933</v>
      </c>
      <c r="F190" s="3">
        <f>IFERROR(__xludf.DUMMYFUNCTION("INT((DATE(INDEX(SPLIT(B190,""/| |:""),3), INDEX(SPLIT(B190,""/| |:""),2), INDEX(SPLIT(B190,""/| |:""),1)) + TIME(INDEX(SPLIT(B190,""/| |:""),4), INDEX(SPLIT(B190,""/| |:""),5), INDEX(SPLIT(B190,""/| |:""),6)) - DATE(1970,1,1)) * 86400)"),1.700652039E9)</f>
        <v>1700652039</v>
      </c>
      <c r="G190" s="3">
        <f>IFERROR(__xludf.DUMMYFUNCTION("INT((DATE(INDEX(SPLIT(C190,""/| |:""),3), INDEX(SPLIT(C190,""/| |:""),2), INDEX(SPLIT(C190,""/| |:""),1)) + TIME(INDEX(SPLIT(C190,""/| |:""),4), INDEX(SPLIT(C190,""/| |:""),5), INDEX(SPLIT(C190,""/| |:""),6)) - DATE(1970,1,1)) * 86400)"),1.705836039E9)</f>
        <v>1705836039</v>
      </c>
    </row>
    <row r="191">
      <c r="A191" s="1" t="s">
        <v>486</v>
      </c>
      <c r="B191" s="5">
        <v>45323.861712962964</v>
      </c>
      <c r="C191" s="7">
        <v>45325.861712962964</v>
      </c>
      <c r="D191" s="1" t="s">
        <v>934</v>
      </c>
      <c r="F191" s="3">
        <f>IFERROR(__xludf.DUMMYFUNCTION("INT((DATE(INDEX(SPLIT(B191,""/| |:""),3), INDEX(SPLIT(B191,""/| |:""),2), INDEX(SPLIT(B191,""/| |:""),1)) + TIME(INDEX(SPLIT(B191,""/| |:""),4), INDEX(SPLIT(B191,""/| |:""),5), INDEX(SPLIT(B191,""/| |:""),6)) - DATE(1970,1,1)) * 86400)"),1.704228052E9)</f>
        <v>1704228052</v>
      </c>
      <c r="G191" s="3">
        <f>IFERROR(__xludf.DUMMYFUNCTION("INT((DATE(INDEX(SPLIT(C191,""/| |:""),3), INDEX(SPLIT(C191,""/| |:""),2), INDEX(SPLIT(C191,""/| |:""),1)) + TIME(INDEX(SPLIT(C191,""/| |:""),4), INDEX(SPLIT(C191,""/| |:""),5), INDEX(SPLIT(C191,""/| |:""),6)) - DATE(1970,1,1)) * 86400)"),1.709412052E9)</f>
        <v>1709412052</v>
      </c>
    </row>
    <row r="192">
      <c r="A192" s="1" t="s">
        <v>485</v>
      </c>
      <c r="B192" s="5" t="s">
        <v>935</v>
      </c>
      <c r="C192" s="1" t="s">
        <v>936</v>
      </c>
      <c r="D192" s="1" t="s">
        <v>934</v>
      </c>
      <c r="F192" s="3">
        <f>IFERROR(__xludf.DUMMYFUNCTION("INT((DATE(INDEX(SPLIT(B192,""/| |:""),3), INDEX(SPLIT(B192,""/| |:""),2), INDEX(SPLIT(B192,""/| |:""),1)) + TIME(INDEX(SPLIT(B192,""/| |:""),4), INDEX(SPLIT(B192,""/| |:""),5), INDEX(SPLIT(B192,""/| |:""),6)) - DATE(1970,1,1)) * 86400)"),1.701099332E9)</f>
        <v>1701099332</v>
      </c>
      <c r="G192" s="3">
        <f>IFERROR(__xludf.DUMMYFUNCTION("INT((DATE(INDEX(SPLIT(C192,""/| |:""),3), INDEX(SPLIT(C192,""/| |:""),2), INDEX(SPLIT(C192,""/| |:""),1)) + TIME(INDEX(SPLIT(C192,""/| |:""),4), INDEX(SPLIT(C192,""/| |:""),5), INDEX(SPLIT(C192,""/| |:""),6)) - DATE(1970,1,1)) * 86400)"),1.706283332E9)</f>
        <v>1706283332</v>
      </c>
    </row>
    <row r="193">
      <c r="A193" s="1" t="s">
        <v>484</v>
      </c>
      <c r="B193" s="5" t="s">
        <v>937</v>
      </c>
      <c r="C193" s="1" t="s">
        <v>938</v>
      </c>
      <c r="D193" s="1" t="s">
        <v>934</v>
      </c>
      <c r="F193" s="3">
        <f>IFERROR(__xludf.DUMMYFUNCTION("INT((DATE(INDEX(SPLIT(B193,""/| |:""),3), INDEX(SPLIT(B193,""/| |:""),2), INDEX(SPLIT(B193,""/| |:""),1)) + TIME(INDEX(SPLIT(B193,""/| |:""),4), INDEX(SPLIT(B193,""/| |:""),5), INDEX(SPLIT(B193,""/| |:""),6)) - DATE(1970,1,1)) * 86400)"),1.700057466E9)</f>
        <v>1700057466</v>
      </c>
      <c r="G193" s="3">
        <f>IFERROR(__xludf.DUMMYFUNCTION("INT((DATE(INDEX(SPLIT(C193,""/| |:""),3), INDEX(SPLIT(C193,""/| |:""),2), INDEX(SPLIT(C193,""/| |:""),1)) + TIME(INDEX(SPLIT(C193,""/| |:""),4), INDEX(SPLIT(C193,""/| |:""),5), INDEX(SPLIT(C193,""/| |:""),6)) - DATE(1970,1,1)) * 86400)"),1.705241466E9)</f>
        <v>1705241466</v>
      </c>
    </row>
    <row r="194">
      <c r="A194" s="1" t="s">
        <v>456</v>
      </c>
      <c r="B194" s="5">
        <v>45118.76641203704</v>
      </c>
      <c r="C194" s="7">
        <v>45444.76641203704</v>
      </c>
      <c r="D194" s="1" t="s">
        <v>939</v>
      </c>
      <c r="F194" s="3">
        <f>IFERROR(__xludf.DUMMYFUNCTION("INT((DATE(INDEX(SPLIT(B194,""/| |:""),3), INDEX(SPLIT(B194,""/| |:""),2), INDEX(SPLIT(B194,""/| |:""),1)) + TIME(INDEX(SPLIT(B194,""/| |:""),4), INDEX(SPLIT(B194,""/| |:""),5), INDEX(SPLIT(B194,""/| |:""),6)) - DATE(1970,1,1)) * 86400)"),1.699381418E9)</f>
        <v>1699381418</v>
      </c>
      <c r="G194" s="3">
        <f>IFERROR(__xludf.DUMMYFUNCTION("INT((DATE(INDEX(SPLIT(C194,""/| |:""),3), INDEX(SPLIT(C194,""/| |:""),2), INDEX(SPLIT(C194,""/| |:""),1)) + TIME(INDEX(SPLIT(C194,""/| |:""),4), INDEX(SPLIT(C194,""/| |:""),5), INDEX(SPLIT(C194,""/| |:""),6)) - DATE(1970,1,1)) * 86400)"),1.704565418E9)</f>
        <v>1704565418</v>
      </c>
    </row>
    <row r="195">
      <c r="A195" s="1" t="s">
        <v>487</v>
      </c>
      <c r="B195" s="5" t="s">
        <v>940</v>
      </c>
      <c r="C195" s="1" t="s">
        <v>941</v>
      </c>
      <c r="D195" s="1" t="s">
        <v>942</v>
      </c>
      <c r="F195" s="3">
        <f>IFERROR(__xludf.DUMMYFUNCTION("INT((DATE(INDEX(SPLIT(B195,""/| |:""),3), INDEX(SPLIT(B195,""/| |:""),2), INDEX(SPLIT(B195,""/| |:""),1)) + TIME(INDEX(SPLIT(B195,""/| |:""),4), INDEX(SPLIT(B195,""/| |:""),5), INDEX(SPLIT(B195,""/| |:""),6)) - DATE(1970,1,1)) * 86400)"),1.703593867E9)</f>
        <v>1703593867</v>
      </c>
      <c r="G195" s="3">
        <f>IFERROR(__xludf.DUMMYFUNCTION("INT((DATE(INDEX(SPLIT(C195,""/| |:""),3), INDEX(SPLIT(C195,""/| |:""),2), INDEX(SPLIT(C195,""/| |:""),1)) + TIME(INDEX(SPLIT(C195,""/| |:""),4), INDEX(SPLIT(C195,""/| |:""),5), INDEX(SPLIT(C195,""/| |:""),6)) - DATE(1970,1,1)) * 86400)"),1.708777867E9)</f>
        <v>1708777867</v>
      </c>
    </row>
    <row r="196">
      <c r="A196" s="1" t="s">
        <v>488</v>
      </c>
      <c r="B196" s="5" t="s">
        <v>943</v>
      </c>
      <c r="C196" s="1" t="s">
        <v>944</v>
      </c>
      <c r="D196" s="1" t="s">
        <v>945</v>
      </c>
      <c r="F196" s="3">
        <f>IFERROR(__xludf.DUMMYFUNCTION("INT((DATE(INDEX(SPLIT(B196,""/| |:""),3), INDEX(SPLIT(B196,""/| |:""),2), INDEX(SPLIT(B196,""/| |:""),1)) + TIME(INDEX(SPLIT(B196,""/| |:""),4), INDEX(SPLIT(B196,""/| |:""),5), INDEX(SPLIT(B196,""/| |:""),6)) - DATE(1970,1,1)) * 86400)"),1.70359733E9)</f>
        <v>1703597330</v>
      </c>
      <c r="G196" s="3">
        <f>IFERROR(__xludf.DUMMYFUNCTION("INT((DATE(INDEX(SPLIT(C196,""/| |:""),3), INDEX(SPLIT(C196,""/| |:""),2), INDEX(SPLIT(C196,""/| |:""),1)) + TIME(INDEX(SPLIT(C196,""/| |:""),4), INDEX(SPLIT(C196,""/| |:""),5), INDEX(SPLIT(C196,""/| |:""),6)) - DATE(1970,1,1)) * 86400)"),1.70878133E9)</f>
        <v>1708781330</v>
      </c>
    </row>
    <row r="197">
      <c r="A197" s="1" t="s">
        <v>473</v>
      </c>
      <c r="B197" s="5" t="s">
        <v>946</v>
      </c>
      <c r="C197" s="1" t="s">
        <v>947</v>
      </c>
      <c r="D197" s="1" t="s">
        <v>948</v>
      </c>
      <c r="F197" s="3">
        <f>IFERROR(__xludf.DUMMYFUNCTION("INT((DATE(INDEX(SPLIT(B197,""/| |:""),3), INDEX(SPLIT(B197,""/| |:""),2), INDEX(SPLIT(B197,""/| |:""),1)) + TIME(INDEX(SPLIT(B197,""/| |:""),4), INDEX(SPLIT(B197,""/| |:""),5), INDEX(SPLIT(B197,""/| |:""),6)) - DATE(1970,1,1)) * 86400)"),1.700314101E9)</f>
        <v>1700314101</v>
      </c>
      <c r="G197" s="3">
        <f>IFERROR(__xludf.DUMMYFUNCTION("INT((DATE(INDEX(SPLIT(C197,""/| |:""),3), INDEX(SPLIT(C197,""/| |:""),2), INDEX(SPLIT(C197,""/| |:""),1)) + TIME(INDEX(SPLIT(C197,""/| |:""),4), INDEX(SPLIT(C197,""/| |:""),5), INDEX(SPLIT(C197,""/| |:""),6)) - DATE(1970,1,1)) * 86400)"),1.705498101E9)</f>
        <v>1705498101</v>
      </c>
    </row>
    <row r="198">
      <c r="A198" s="1" t="s">
        <v>489</v>
      </c>
      <c r="B198" s="5" t="s">
        <v>949</v>
      </c>
      <c r="C198" s="1" t="s">
        <v>950</v>
      </c>
      <c r="D198" s="1" t="s">
        <v>951</v>
      </c>
      <c r="F198" s="3">
        <f>IFERROR(__xludf.DUMMYFUNCTION("INT((DATE(INDEX(SPLIT(B198,""/| |:""),3), INDEX(SPLIT(B198,""/| |:""),2), INDEX(SPLIT(B198,""/| |:""),1)) + TIME(INDEX(SPLIT(B198,""/| |:""),4), INDEX(SPLIT(B198,""/| |:""),5), INDEX(SPLIT(B198,""/| |:""),6)) - DATE(1970,1,1)) * 86400)"),1.701189591E9)</f>
        <v>1701189591</v>
      </c>
      <c r="G198" s="3">
        <f>IFERROR(__xludf.DUMMYFUNCTION("INT((DATE(INDEX(SPLIT(C198,""/| |:""),3), INDEX(SPLIT(C198,""/| |:""),2), INDEX(SPLIT(C198,""/| |:""),1)) + TIME(INDEX(SPLIT(C198,""/| |:""),4), INDEX(SPLIT(C198,""/| |:""),5), INDEX(SPLIT(C198,""/| |:""),6)) - DATE(1970,1,1)) * 86400)"),1.706373591E9)</f>
        <v>1706373591</v>
      </c>
    </row>
    <row r="199">
      <c r="A199" s="1" t="s">
        <v>441</v>
      </c>
      <c r="B199" s="5" t="s">
        <v>952</v>
      </c>
      <c r="C199" s="1" t="s">
        <v>953</v>
      </c>
      <c r="D199" s="1" t="s">
        <v>954</v>
      </c>
      <c r="F199" s="3">
        <f>IFERROR(__xludf.DUMMYFUNCTION("INT((DATE(INDEX(SPLIT(B199,""/| |:""),3), INDEX(SPLIT(B199,""/| |:""),2), INDEX(SPLIT(B199,""/| |:""),1)) + TIME(INDEX(SPLIT(B199,""/| |:""),4), INDEX(SPLIT(B199,""/| |:""),5), INDEX(SPLIT(B199,""/| |:""),6)) - DATE(1970,1,1)) * 86400)"),1.703691248E9)</f>
        <v>1703691248</v>
      </c>
      <c r="G199" s="3">
        <f>IFERROR(__xludf.DUMMYFUNCTION("INT((DATE(INDEX(SPLIT(C199,""/| |:""),3), INDEX(SPLIT(C199,""/| |:""),2), INDEX(SPLIT(C199,""/| |:""),1)) + TIME(INDEX(SPLIT(C199,""/| |:""),4), INDEX(SPLIT(C199,""/| |:""),5), INDEX(SPLIT(C199,""/| |:""),6)) - DATE(1970,1,1)) * 86400)"),1.708875248E9)</f>
        <v>1708875248</v>
      </c>
    </row>
    <row r="200">
      <c r="A200" s="1" t="s">
        <v>490</v>
      </c>
      <c r="B200" s="5" t="s">
        <v>955</v>
      </c>
      <c r="C200" s="1" t="s">
        <v>956</v>
      </c>
      <c r="D200" s="1" t="s">
        <v>957</v>
      </c>
      <c r="F200" s="3">
        <f>IFERROR(__xludf.DUMMYFUNCTION("INT((DATE(INDEX(SPLIT(B200,""/| |:""),3), INDEX(SPLIT(B200,""/| |:""),2), INDEX(SPLIT(B200,""/| |:""),1)) + TIME(INDEX(SPLIT(B200,""/| |:""),4), INDEX(SPLIT(B200,""/| |:""),5), INDEX(SPLIT(B200,""/| |:""),6)) - DATE(1970,1,1)) * 86400)"),1.703773101E9)</f>
        <v>1703773101</v>
      </c>
      <c r="G200" s="3">
        <f>IFERROR(__xludf.DUMMYFUNCTION("INT((DATE(INDEX(SPLIT(C200,""/| |:""),3), INDEX(SPLIT(C200,""/| |:""),2), INDEX(SPLIT(C200,""/| |:""),1)) + TIME(INDEX(SPLIT(C200,""/| |:""),4), INDEX(SPLIT(C200,""/| |:""),5), INDEX(SPLIT(C200,""/| |:""),6)) - DATE(1970,1,1)) * 86400)"),1.708957101E9)</f>
        <v>1708957101</v>
      </c>
    </row>
    <row r="201">
      <c r="A201" s="1" t="s">
        <v>442</v>
      </c>
      <c r="B201" s="5">
        <v>45118.40194444444</v>
      </c>
      <c r="C201" s="7">
        <v>45444.40194444444</v>
      </c>
      <c r="D201" s="1" t="s">
        <v>958</v>
      </c>
      <c r="F201" s="3">
        <f>IFERROR(__xludf.DUMMYFUNCTION("INT((DATE(INDEX(SPLIT(B201,""/| |:""),3), INDEX(SPLIT(B201,""/| |:""),2), INDEX(SPLIT(B201,""/| |:""),1)) + TIME(INDEX(SPLIT(B201,""/| |:""),4), INDEX(SPLIT(B201,""/| |:""),5), INDEX(SPLIT(B201,""/| |:""),6)) - DATE(1970,1,1)) * 86400)"),1.699349928E9)</f>
        <v>1699349928</v>
      </c>
      <c r="G201" s="3">
        <f>IFERROR(__xludf.DUMMYFUNCTION("INT((DATE(INDEX(SPLIT(C201,""/| |:""),3), INDEX(SPLIT(C201,""/| |:""),2), INDEX(SPLIT(C201,""/| |:""),1)) + TIME(INDEX(SPLIT(C201,""/| |:""),4), INDEX(SPLIT(C201,""/| |:""),5), INDEX(SPLIT(C201,""/| |:""),6)) - DATE(1970,1,1)) * 86400)"),1.704533928E9)</f>
        <v>1704533928</v>
      </c>
    </row>
    <row r="202">
      <c r="A202" s="1" t="s">
        <v>491</v>
      </c>
      <c r="B202" s="5" t="s">
        <v>959</v>
      </c>
      <c r="C202" s="1" t="s">
        <v>960</v>
      </c>
      <c r="D202" s="1" t="s">
        <v>958</v>
      </c>
      <c r="F202" s="3">
        <f>IFERROR(__xludf.DUMMYFUNCTION("INT((DATE(INDEX(SPLIT(B202,""/| |:""),3), INDEX(SPLIT(B202,""/| |:""),2), INDEX(SPLIT(B202,""/| |:""),1)) + TIME(INDEX(SPLIT(B202,""/| |:""),4), INDEX(SPLIT(B202,""/| |:""),5), INDEX(SPLIT(B202,""/| |:""),6)) - DATE(1970,1,1)) * 86400)"),1.697930029E9)</f>
        <v>1697930029</v>
      </c>
      <c r="G202" s="3">
        <f>IFERROR(__xludf.DUMMYFUNCTION("INT((DATE(INDEX(SPLIT(C202,""/| |:""),3), INDEX(SPLIT(C202,""/| |:""),2), INDEX(SPLIT(C202,""/| |:""),1)) + TIME(INDEX(SPLIT(C202,""/| |:""),4), INDEX(SPLIT(C202,""/| |:""),5), INDEX(SPLIT(C202,""/| |:""),6)) - DATE(1970,1,1)) * 86400)"),1.703114029E9)</f>
        <v>1703114029</v>
      </c>
    </row>
    <row r="203">
      <c r="A203" s="1" t="s">
        <v>492</v>
      </c>
      <c r="B203" s="5" t="s">
        <v>961</v>
      </c>
      <c r="C203" s="1" t="s">
        <v>962</v>
      </c>
      <c r="D203" s="1" t="s">
        <v>963</v>
      </c>
      <c r="F203" s="3">
        <f>IFERROR(__xludf.DUMMYFUNCTION("INT((DATE(INDEX(SPLIT(B203,""/| |:""),3), INDEX(SPLIT(B203,""/| |:""),2), INDEX(SPLIT(B203,""/| |:""),1)) + TIME(INDEX(SPLIT(B203,""/| |:""),4), INDEX(SPLIT(B203,""/| |:""),5), INDEX(SPLIT(B203,""/| |:""),6)) - DATE(1970,1,1)) * 86400)"),1.702664423E9)</f>
        <v>1702664423</v>
      </c>
      <c r="G203" s="3">
        <f>IFERROR(__xludf.DUMMYFUNCTION("INT((DATE(INDEX(SPLIT(C203,""/| |:""),3), INDEX(SPLIT(C203,""/| |:""),2), INDEX(SPLIT(C203,""/| |:""),1)) + TIME(INDEX(SPLIT(C203,""/| |:""),4), INDEX(SPLIT(C203,""/| |:""),5), INDEX(SPLIT(C203,""/| |:""),6)) - DATE(1970,1,1)) * 86400)"),1.707848423E9)</f>
        <v>1707848423</v>
      </c>
    </row>
    <row r="204">
      <c r="A204" s="1" t="s">
        <v>493</v>
      </c>
      <c r="B204" s="5" t="s">
        <v>964</v>
      </c>
      <c r="C204" s="1" t="s">
        <v>965</v>
      </c>
      <c r="D204" s="1" t="s">
        <v>966</v>
      </c>
      <c r="F204" s="3">
        <f>IFERROR(__xludf.DUMMYFUNCTION("INT((DATE(INDEX(SPLIT(B204,""/| |:""),3), INDEX(SPLIT(B204,""/| |:""),2), INDEX(SPLIT(B204,""/| |:""),1)) + TIME(INDEX(SPLIT(B204,""/| |:""),4), INDEX(SPLIT(B204,""/| |:""),5), INDEX(SPLIT(B204,""/| |:""),6)) - DATE(1970,1,1)) * 86400)"),1.702815723E9)</f>
        <v>1702815723</v>
      </c>
      <c r="G204" s="3">
        <f>IFERROR(__xludf.DUMMYFUNCTION("INT((DATE(INDEX(SPLIT(C204,""/| |:""),3), INDEX(SPLIT(C204,""/| |:""),2), INDEX(SPLIT(C204,""/| |:""),1)) + TIME(INDEX(SPLIT(C204,""/| |:""),4), INDEX(SPLIT(C204,""/| |:""),5), INDEX(SPLIT(C204,""/| |:""),6)) - DATE(1970,1,1)) * 86400)"),1.707999723E9)</f>
        <v>1707999723</v>
      </c>
    </row>
    <row r="205">
      <c r="A205" s="1" t="s">
        <v>494</v>
      </c>
      <c r="B205" s="5">
        <v>44968.541967592595</v>
      </c>
      <c r="C205" s="7">
        <v>45292.541967592595</v>
      </c>
      <c r="D205" s="1" t="s">
        <v>967</v>
      </c>
      <c r="F205" s="3">
        <f>IFERROR(__xludf.DUMMYFUNCTION("INT((DATE(INDEX(SPLIT(B205,""/| |:""),3), INDEX(SPLIT(B205,""/| |:""),2), INDEX(SPLIT(B205,""/| |:""),1)) + TIME(INDEX(SPLIT(B205,""/| |:""),4), INDEX(SPLIT(B205,""/| |:""),5), INDEX(SPLIT(B205,""/| |:""),6)) - DATE(1970,1,1)) * 86400)"),1.698930026E9)</f>
        <v>1698930026</v>
      </c>
      <c r="G205" s="3">
        <f>IFERROR(__xludf.DUMMYFUNCTION("INT((DATE(INDEX(SPLIT(C205,""/| |:""),3), INDEX(SPLIT(C205,""/| |:""),2), INDEX(SPLIT(C205,""/| |:""),1)) + TIME(INDEX(SPLIT(C205,""/| |:""),4), INDEX(SPLIT(C205,""/| |:""),5), INDEX(SPLIT(C205,""/| |:""),6)) - DATE(1970,1,1)) * 86400)"),1.704114026E9)</f>
        <v>1704114026</v>
      </c>
    </row>
    <row r="206">
      <c r="A206" s="1" t="s">
        <v>194</v>
      </c>
      <c r="B206" s="5" t="s">
        <v>968</v>
      </c>
      <c r="C206" s="1" t="s">
        <v>969</v>
      </c>
      <c r="D206" s="1" t="s">
        <v>970</v>
      </c>
      <c r="F206" s="3">
        <f>IFERROR(__xludf.DUMMYFUNCTION("INT((DATE(INDEX(SPLIT(B206,""/| |:""),3), INDEX(SPLIT(B206,""/| |:""),2), INDEX(SPLIT(B206,""/| |:""),1)) + TIME(INDEX(SPLIT(B206,""/| |:""),4), INDEX(SPLIT(B206,""/| |:""),5), INDEX(SPLIT(B206,""/| |:""),6)) - DATE(1970,1,1)) * 86400)"),1.697888191E9)</f>
        <v>1697888191</v>
      </c>
      <c r="G206" s="3">
        <f>IFERROR(__xludf.DUMMYFUNCTION("INT((DATE(INDEX(SPLIT(C206,""/| |:""),3), INDEX(SPLIT(C206,""/| |:""),2), INDEX(SPLIT(C206,""/| |:""),1)) + TIME(INDEX(SPLIT(C206,""/| |:""),4), INDEX(SPLIT(C206,""/| |:""),5), INDEX(SPLIT(C206,""/| |:""),6)) - DATE(1970,1,1)) * 86400)"),1.703072191E9)</f>
        <v>1703072191</v>
      </c>
    </row>
    <row r="207">
      <c r="A207" s="1" t="s">
        <v>499</v>
      </c>
      <c r="B207" s="5">
        <v>45058.525671296295</v>
      </c>
      <c r="C207" s="7">
        <v>45353.525671296295</v>
      </c>
      <c r="D207" s="1" t="s">
        <v>971</v>
      </c>
      <c r="F207" s="3">
        <f>IFERROR(__xludf.DUMMYFUNCTION("INT((DATE(INDEX(SPLIT(B207,""/| |:""),3), INDEX(SPLIT(B207,""/| |:""),2), INDEX(SPLIT(B207,""/| |:""),1)) + TIME(INDEX(SPLIT(B207,""/| |:""),4), INDEX(SPLIT(B207,""/| |:""),5), INDEX(SPLIT(B207,""/| |:""),6)) - DATE(1970,1,1)) * 86400)"),1.701779818E9)</f>
        <v>1701779818</v>
      </c>
      <c r="G207" s="3">
        <f>IFERROR(__xludf.DUMMYFUNCTION("INT((DATE(INDEX(SPLIT(C207,""/| |:""),3), INDEX(SPLIT(C207,""/| |:""),2), INDEX(SPLIT(C207,""/| |:""),1)) + TIME(INDEX(SPLIT(C207,""/| |:""),4), INDEX(SPLIT(C207,""/| |:""),5), INDEX(SPLIT(C207,""/| |:""),6)) - DATE(1970,1,1)) * 86400)"),1.706963818E9)</f>
        <v>1706963818</v>
      </c>
    </row>
    <row r="208">
      <c r="A208" s="1" t="s">
        <v>495</v>
      </c>
      <c r="B208" s="5" t="s">
        <v>972</v>
      </c>
      <c r="C208" s="1" t="s">
        <v>973</v>
      </c>
      <c r="D208" s="1" t="s">
        <v>971</v>
      </c>
      <c r="F208" s="3">
        <f>IFERROR(__xludf.DUMMYFUNCTION("INT((DATE(INDEX(SPLIT(B208,""/| |:""),3), INDEX(SPLIT(B208,""/| |:""),2), INDEX(SPLIT(B208,""/| |:""),1)) + TIME(INDEX(SPLIT(B208,""/| |:""),4), INDEX(SPLIT(B208,""/| |:""),5), INDEX(SPLIT(B208,""/| |:""),6)) - DATE(1970,1,1)) * 86400)"),1.701361206E9)</f>
        <v>1701361206</v>
      </c>
      <c r="G208" s="3">
        <f>IFERROR(__xludf.DUMMYFUNCTION("INT((DATE(INDEX(SPLIT(C208,""/| |:""),3), INDEX(SPLIT(C208,""/| |:""),2), INDEX(SPLIT(C208,""/| |:""),1)) + TIME(INDEX(SPLIT(C208,""/| |:""),4), INDEX(SPLIT(C208,""/| |:""),5), INDEX(SPLIT(C208,""/| |:""),6)) - DATE(1970,1,1)) * 86400)"),1.706545206E9)</f>
        <v>1706545206</v>
      </c>
    </row>
    <row r="209">
      <c r="A209" s="1" t="s">
        <v>497</v>
      </c>
      <c r="B209" s="5" t="s">
        <v>974</v>
      </c>
      <c r="C209" s="1" t="s">
        <v>975</v>
      </c>
      <c r="D209" s="1" t="s">
        <v>971</v>
      </c>
      <c r="F209" s="3">
        <f>IFERROR(__xludf.DUMMYFUNCTION("INT((DATE(INDEX(SPLIT(B209,""/| |:""),3), INDEX(SPLIT(B209,""/| |:""),2), INDEX(SPLIT(B209,""/| |:""),1)) + TIME(INDEX(SPLIT(B209,""/| |:""),4), INDEX(SPLIT(B209,""/| |:""),5), INDEX(SPLIT(B209,""/| |:""),6)) - DATE(1970,1,1)) * 86400)"),1.701189728E9)</f>
        <v>1701189728</v>
      </c>
      <c r="G209" s="3">
        <f>IFERROR(__xludf.DUMMYFUNCTION("INT((DATE(INDEX(SPLIT(C209,""/| |:""),3), INDEX(SPLIT(C209,""/| |:""),2), INDEX(SPLIT(C209,""/| |:""),1)) + TIME(INDEX(SPLIT(C209,""/| |:""),4), INDEX(SPLIT(C209,""/| |:""),5), INDEX(SPLIT(C209,""/| |:""),6)) - DATE(1970,1,1)) * 86400)"),1.706373728E9)</f>
        <v>1706373728</v>
      </c>
    </row>
    <row r="210">
      <c r="A210" s="1" t="s">
        <v>496</v>
      </c>
      <c r="B210" s="5" t="s">
        <v>976</v>
      </c>
      <c r="C210" s="1" t="s">
        <v>977</v>
      </c>
      <c r="D210" s="1" t="s">
        <v>971</v>
      </c>
      <c r="F210" s="3">
        <f>IFERROR(__xludf.DUMMYFUNCTION("INT((DATE(INDEX(SPLIT(B210,""/| |:""),3), INDEX(SPLIT(B210,""/| |:""),2), INDEX(SPLIT(B210,""/| |:""),1)) + TIME(INDEX(SPLIT(B210,""/| |:""),4), INDEX(SPLIT(B210,""/| |:""),5), INDEX(SPLIT(B210,""/| |:""),6)) - DATE(1970,1,1)) * 86400)"),1.700310131E9)</f>
        <v>1700310131</v>
      </c>
      <c r="G210" s="3">
        <f>IFERROR(__xludf.DUMMYFUNCTION("INT((DATE(INDEX(SPLIT(C210,""/| |:""),3), INDEX(SPLIT(C210,""/| |:""),2), INDEX(SPLIT(C210,""/| |:""),1)) + TIME(INDEX(SPLIT(C210,""/| |:""),4), INDEX(SPLIT(C210,""/| |:""),5), INDEX(SPLIT(C210,""/| |:""),6)) - DATE(1970,1,1)) * 86400)"),1.705494131E9)</f>
        <v>1705494131</v>
      </c>
    </row>
    <row r="211">
      <c r="A211" s="1" t="s">
        <v>498</v>
      </c>
      <c r="B211" s="5">
        <v>44968.58699074074</v>
      </c>
      <c r="C211" s="7">
        <v>45292.58699074074</v>
      </c>
      <c r="D211" s="1" t="s">
        <v>971</v>
      </c>
      <c r="F211" s="3">
        <f>IFERROR(__xludf.DUMMYFUNCTION("INT((DATE(INDEX(SPLIT(B211,""/| |:""),3), INDEX(SPLIT(B211,""/| |:""),2), INDEX(SPLIT(B211,""/| |:""),1)) + TIME(INDEX(SPLIT(B211,""/| |:""),4), INDEX(SPLIT(B211,""/| |:""),5), INDEX(SPLIT(B211,""/| |:""),6)) - DATE(1970,1,1)) * 86400)"),1.698933916E9)</f>
        <v>1698933916</v>
      </c>
      <c r="G211" s="3">
        <f>IFERROR(__xludf.DUMMYFUNCTION("INT((DATE(INDEX(SPLIT(C211,""/| |:""),3), INDEX(SPLIT(C211,""/| |:""),2), INDEX(SPLIT(C211,""/| |:""),1)) + TIME(INDEX(SPLIT(C211,""/| |:""),4), INDEX(SPLIT(C211,""/| |:""),5), INDEX(SPLIT(C211,""/| |:""),6)) - DATE(1970,1,1)) * 86400)"),1.704117916E9)</f>
        <v>1704117916</v>
      </c>
    </row>
    <row r="212">
      <c r="A212" s="1" t="s">
        <v>169</v>
      </c>
      <c r="B212" s="5">
        <v>45352.622824074075</v>
      </c>
      <c r="C212" s="7">
        <v>45354.622824074075</v>
      </c>
      <c r="D212" s="1" t="s">
        <v>978</v>
      </c>
      <c r="F212" s="3">
        <f>IFERROR(__xludf.DUMMYFUNCTION("INT((DATE(INDEX(SPLIT(B212,""/| |:""),3), INDEX(SPLIT(B212,""/| |:""),2), INDEX(SPLIT(B212,""/| |:""),1)) + TIME(INDEX(SPLIT(B212,""/| |:""),4), INDEX(SPLIT(B212,""/| |:""),5), INDEX(SPLIT(B212,""/| |:""),6)) - DATE(1970,1,1)) * 86400)"),1.704293812E9)</f>
        <v>1704293812</v>
      </c>
      <c r="G212" s="3">
        <f>IFERROR(__xludf.DUMMYFUNCTION("INT((DATE(INDEX(SPLIT(C212,""/| |:""),3), INDEX(SPLIT(C212,""/| |:""),2), INDEX(SPLIT(C212,""/| |:""),1)) + TIME(INDEX(SPLIT(C212,""/| |:""),4), INDEX(SPLIT(C212,""/| |:""),5), INDEX(SPLIT(C212,""/| |:""),6)) - DATE(1970,1,1)) * 86400)"),1.709477812E9)</f>
        <v>1709477812</v>
      </c>
    </row>
    <row r="213">
      <c r="A213" s="1" t="s">
        <v>143</v>
      </c>
      <c r="B213" s="5" t="s">
        <v>979</v>
      </c>
      <c r="C213" s="1" t="s">
        <v>980</v>
      </c>
      <c r="D213" s="1" t="s">
        <v>978</v>
      </c>
      <c r="F213" s="3">
        <f>IFERROR(__xludf.DUMMYFUNCTION("INT((DATE(INDEX(SPLIT(B213,""/| |:""),3), INDEX(SPLIT(B213,""/| |:""),2), INDEX(SPLIT(B213,""/| |:""),1)) + TIME(INDEX(SPLIT(B213,""/| |:""),4), INDEX(SPLIT(B213,""/| |:""),5), INDEX(SPLIT(B213,""/| |:""),6)) - DATE(1970,1,1)) * 86400)"),1.703677183E9)</f>
        <v>1703677183</v>
      </c>
      <c r="G213" s="3">
        <f>IFERROR(__xludf.DUMMYFUNCTION("INT((DATE(INDEX(SPLIT(C213,""/| |:""),3), INDEX(SPLIT(C213,""/| |:""),2), INDEX(SPLIT(C213,""/| |:""),1)) + TIME(INDEX(SPLIT(C213,""/| |:""),4), INDEX(SPLIT(C213,""/| |:""),5), INDEX(SPLIT(C213,""/| |:""),6)) - DATE(1970,1,1)) * 86400)"),1.708861183E9)</f>
        <v>1708861183</v>
      </c>
    </row>
    <row r="214">
      <c r="A214" s="1" t="s">
        <v>144</v>
      </c>
      <c r="B214" s="5" t="s">
        <v>981</v>
      </c>
      <c r="C214" s="1" t="s">
        <v>982</v>
      </c>
      <c r="D214" s="1" t="s">
        <v>978</v>
      </c>
      <c r="F214" s="3">
        <f>IFERROR(__xludf.DUMMYFUNCTION("INT((DATE(INDEX(SPLIT(B214,""/| |:""),3), INDEX(SPLIT(B214,""/| |:""),2), INDEX(SPLIT(B214,""/| |:""),1)) + TIME(INDEX(SPLIT(B214,""/| |:""),4), INDEX(SPLIT(B214,""/| |:""),5), INDEX(SPLIT(B214,""/| |:""),6)) - DATE(1970,1,1)) * 86400)"),1.703585814E9)</f>
        <v>1703585814</v>
      </c>
      <c r="G214" s="3">
        <f>IFERROR(__xludf.DUMMYFUNCTION("INT((DATE(INDEX(SPLIT(C214,""/| |:""),3), INDEX(SPLIT(C214,""/| |:""),2), INDEX(SPLIT(C214,""/| |:""),1)) + TIME(INDEX(SPLIT(C214,""/| |:""),4), INDEX(SPLIT(C214,""/| |:""),5), INDEX(SPLIT(C214,""/| |:""),6)) - DATE(1970,1,1)) * 86400)"),1.708769814E9)</f>
        <v>1708769814</v>
      </c>
    </row>
    <row r="215">
      <c r="A215" s="1" t="s">
        <v>145</v>
      </c>
      <c r="B215" s="5" t="s">
        <v>983</v>
      </c>
      <c r="C215" s="1" t="s">
        <v>984</v>
      </c>
      <c r="D215" s="1" t="s">
        <v>978</v>
      </c>
      <c r="F215" s="3">
        <f>IFERROR(__xludf.DUMMYFUNCTION("INT((DATE(INDEX(SPLIT(B215,""/| |:""),3), INDEX(SPLIT(B215,""/| |:""),2), INDEX(SPLIT(B215,""/| |:""),1)) + TIME(INDEX(SPLIT(B215,""/| |:""),4), INDEX(SPLIT(B215,""/| |:""),5), INDEX(SPLIT(B215,""/| |:""),6)) - DATE(1970,1,1)) * 86400)"),1.703358072E9)</f>
        <v>1703358072</v>
      </c>
      <c r="G215" s="3">
        <f>IFERROR(__xludf.DUMMYFUNCTION("INT((DATE(INDEX(SPLIT(C215,""/| |:""),3), INDEX(SPLIT(C215,""/| |:""),2), INDEX(SPLIT(C215,""/| |:""),1)) + TIME(INDEX(SPLIT(C215,""/| |:""),4), INDEX(SPLIT(C215,""/| |:""),5), INDEX(SPLIT(C215,""/| |:""),6)) - DATE(1970,1,1)) * 86400)"),1.708542072E9)</f>
        <v>1708542072</v>
      </c>
    </row>
    <row r="216">
      <c r="A216" s="1" t="s">
        <v>170</v>
      </c>
      <c r="B216" s="5" t="s">
        <v>985</v>
      </c>
      <c r="C216" s="1" t="s">
        <v>986</v>
      </c>
      <c r="D216" s="1" t="s">
        <v>978</v>
      </c>
      <c r="F216" s="3">
        <f>IFERROR(__xludf.DUMMYFUNCTION("INT((DATE(INDEX(SPLIT(B216,""/| |:""),3), INDEX(SPLIT(B216,""/| |:""),2), INDEX(SPLIT(B216,""/| |:""),1)) + TIME(INDEX(SPLIT(B216,""/| |:""),4), INDEX(SPLIT(B216,""/| |:""),5), INDEX(SPLIT(B216,""/| |:""),6)) - DATE(1970,1,1)) * 86400)"),1.703071461E9)</f>
        <v>1703071461</v>
      </c>
      <c r="G216" s="3">
        <f>IFERROR(__xludf.DUMMYFUNCTION("INT((DATE(INDEX(SPLIT(C216,""/| |:""),3), INDEX(SPLIT(C216,""/| |:""),2), INDEX(SPLIT(C216,""/| |:""),1)) + TIME(INDEX(SPLIT(C216,""/| |:""),4), INDEX(SPLIT(C216,""/| |:""),5), INDEX(SPLIT(C216,""/| |:""),6)) - DATE(1970,1,1)) * 86400)"),1.708255461E9)</f>
        <v>1708255461</v>
      </c>
    </row>
    <row r="217">
      <c r="A217" s="1" t="s">
        <v>146</v>
      </c>
      <c r="B217" s="5" t="s">
        <v>987</v>
      </c>
      <c r="C217" s="1" t="s">
        <v>988</v>
      </c>
      <c r="D217" s="1" t="s">
        <v>978</v>
      </c>
      <c r="F217" s="3">
        <f>IFERROR(__xludf.DUMMYFUNCTION("INT((DATE(INDEX(SPLIT(B217,""/| |:""),3), INDEX(SPLIT(B217,""/| |:""),2), INDEX(SPLIT(B217,""/| |:""),1)) + TIME(INDEX(SPLIT(B217,""/| |:""),4), INDEX(SPLIT(B217,""/| |:""),5), INDEX(SPLIT(B217,""/| |:""),6)) - DATE(1970,1,1)) * 86400)"),1.702931822E9)</f>
        <v>1702931822</v>
      </c>
      <c r="G217" s="3">
        <f>IFERROR(__xludf.DUMMYFUNCTION("INT((DATE(INDEX(SPLIT(C217,""/| |:""),3), INDEX(SPLIT(C217,""/| |:""),2), INDEX(SPLIT(C217,""/| |:""),1)) + TIME(INDEX(SPLIT(C217,""/| |:""),4), INDEX(SPLIT(C217,""/| |:""),5), INDEX(SPLIT(C217,""/| |:""),6)) - DATE(1970,1,1)) * 86400)"),1.708115822E9)</f>
        <v>1708115822</v>
      </c>
    </row>
    <row r="218">
      <c r="A218" s="1" t="s">
        <v>147</v>
      </c>
      <c r="B218" s="5" t="s">
        <v>989</v>
      </c>
      <c r="C218" s="1" t="s">
        <v>990</v>
      </c>
      <c r="D218" s="1" t="s">
        <v>978</v>
      </c>
      <c r="F218" s="3">
        <f>IFERROR(__xludf.DUMMYFUNCTION("INT((DATE(INDEX(SPLIT(B218,""/| |:""),3), INDEX(SPLIT(B218,""/| |:""),2), INDEX(SPLIT(B218,""/| |:""),1)) + TIME(INDEX(SPLIT(B218,""/| |:""),4), INDEX(SPLIT(B218,""/| |:""),5), INDEX(SPLIT(B218,""/| |:""),6)) - DATE(1970,1,1)) * 86400)"),1.702814807E9)</f>
        <v>1702814807</v>
      </c>
      <c r="G218" s="3">
        <f>IFERROR(__xludf.DUMMYFUNCTION("INT((DATE(INDEX(SPLIT(C218,""/| |:""),3), INDEX(SPLIT(C218,""/| |:""),2), INDEX(SPLIT(C218,""/| |:""),1)) + TIME(INDEX(SPLIT(C218,""/| |:""),4), INDEX(SPLIT(C218,""/| |:""),5), INDEX(SPLIT(C218,""/| |:""),6)) - DATE(1970,1,1)) * 86400)"),1.707998807E9)</f>
        <v>1707998807</v>
      </c>
    </row>
    <row r="219">
      <c r="A219" s="1" t="s">
        <v>148</v>
      </c>
      <c r="B219" s="5" t="s">
        <v>991</v>
      </c>
      <c r="C219" s="7">
        <v>45628.59905092593</v>
      </c>
      <c r="D219" s="1" t="s">
        <v>978</v>
      </c>
      <c r="F219" s="3">
        <f>IFERROR(__xludf.DUMMYFUNCTION("INT((DATE(INDEX(SPLIT(B219,""/| |:""),3), INDEX(SPLIT(B219,""/| |:""),2), INDEX(SPLIT(B219,""/| |:""),1)) + TIME(INDEX(SPLIT(B219,""/| |:""),4), INDEX(SPLIT(B219,""/| |:""),5), INDEX(SPLIT(B219,""/| |:""),6)) - DATE(1970,1,1)) * 86400)"),1.702563758E9)</f>
        <v>1702563758</v>
      </c>
      <c r="G219" s="3">
        <f>IFERROR(__xludf.DUMMYFUNCTION("INT((DATE(INDEX(SPLIT(C219,""/| |:""),3), INDEX(SPLIT(C219,""/| |:""),2), INDEX(SPLIT(C219,""/| |:""),1)) + TIME(INDEX(SPLIT(C219,""/| |:""),4), INDEX(SPLIT(C219,""/| |:""),5), INDEX(SPLIT(C219,""/| |:""),6)) - DATE(1970,1,1)) * 86400)"),1.707747758E9)</f>
        <v>1707747758</v>
      </c>
    </row>
    <row r="220">
      <c r="A220" s="1" t="s">
        <v>149</v>
      </c>
      <c r="B220" s="5" t="s">
        <v>992</v>
      </c>
      <c r="C220" s="7">
        <v>45598.547002314815</v>
      </c>
      <c r="D220" s="1" t="s">
        <v>978</v>
      </c>
      <c r="F220" s="3">
        <f>IFERROR(__xludf.DUMMYFUNCTION("INT((DATE(INDEX(SPLIT(B220,""/| |:""),3), INDEX(SPLIT(B220,""/| |:""),2), INDEX(SPLIT(B220,""/| |:""),1)) + TIME(INDEX(SPLIT(B220,""/| |:""),4), INDEX(SPLIT(B220,""/| |:""),5), INDEX(SPLIT(B220,""/| |:""),6)) - DATE(1970,1,1)) * 86400)"),1.702472861E9)</f>
        <v>1702472861</v>
      </c>
      <c r="G220" s="3">
        <f>IFERROR(__xludf.DUMMYFUNCTION("INT((DATE(INDEX(SPLIT(C220,""/| |:""),3), INDEX(SPLIT(C220,""/| |:""),2), INDEX(SPLIT(C220,""/| |:""),1)) + TIME(INDEX(SPLIT(C220,""/| |:""),4), INDEX(SPLIT(C220,""/| |:""),5), INDEX(SPLIT(C220,""/| |:""),6)) - DATE(1970,1,1)) * 86400)"),1.707656861E9)</f>
        <v>1707656861</v>
      </c>
    </row>
    <row r="221">
      <c r="A221" s="1" t="s">
        <v>150</v>
      </c>
      <c r="B221" s="5">
        <v>45150.58377314815</v>
      </c>
      <c r="C221" s="7">
        <v>45445.58377314815</v>
      </c>
      <c r="D221" s="1" t="s">
        <v>978</v>
      </c>
      <c r="F221" s="3">
        <f>IFERROR(__xludf.DUMMYFUNCTION("INT((DATE(INDEX(SPLIT(B221,""/| |:""),3), INDEX(SPLIT(B221,""/| |:""),2), INDEX(SPLIT(B221,""/| |:""),1)) + TIME(INDEX(SPLIT(B221,""/| |:""),4), INDEX(SPLIT(B221,""/| |:""),5), INDEX(SPLIT(B221,""/| |:""),6)) - DATE(1970,1,1)) * 86400)"),1.702044038E9)</f>
        <v>1702044038</v>
      </c>
      <c r="G221" s="3">
        <f>IFERROR(__xludf.DUMMYFUNCTION("INT((DATE(INDEX(SPLIT(C221,""/| |:""),3), INDEX(SPLIT(C221,""/| |:""),2), INDEX(SPLIT(C221,""/| |:""),1)) + TIME(INDEX(SPLIT(C221,""/| |:""),4), INDEX(SPLIT(C221,""/| |:""),5), INDEX(SPLIT(C221,""/| |:""),6)) - DATE(1970,1,1)) * 86400)"),1.707228038E9)</f>
        <v>1707228038</v>
      </c>
    </row>
    <row r="222">
      <c r="A222" s="1" t="s">
        <v>151</v>
      </c>
      <c r="B222" s="5">
        <v>45089.66226851852</v>
      </c>
      <c r="C222" s="7">
        <v>45384.66226851852</v>
      </c>
      <c r="D222" s="1" t="s">
        <v>978</v>
      </c>
      <c r="F222" s="3">
        <f>IFERROR(__xludf.DUMMYFUNCTION("INT((DATE(INDEX(SPLIT(B222,""/| |:""),3), INDEX(SPLIT(B222,""/| |:""),2), INDEX(SPLIT(B222,""/| |:""),1)) + TIME(INDEX(SPLIT(B222,""/| |:""),4), INDEX(SPLIT(B222,""/| |:""),5), INDEX(SPLIT(B222,""/| |:""),6)) - DATE(1970,1,1)) * 86400)"),1.70187802E9)</f>
        <v>1701878020</v>
      </c>
      <c r="G222" s="3">
        <f>IFERROR(__xludf.DUMMYFUNCTION("INT((DATE(INDEX(SPLIT(C222,""/| |:""),3), INDEX(SPLIT(C222,""/| |:""),2), INDEX(SPLIT(C222,""/| |:""),1)) + TIME(INDEX(SPLIT(C222,""/| |:""),4), INDEX(SPLIT(C222,""/| |:""),5), INDEX(SPLIT(C222,""/| |:""),6)) - DATE(1970,1,1)) * 86400)"),1.70706202E9)</f>
        <v>1707062020</v>
      </c>
    </row>
    <row r="223">
      <c r="A223" s="1" t="s">
        <v>152</v>
      </c>
      <c r="B223" s="5">
        <v>45089.60314814815</v>
      </c>
      <c r="C223" s="7">
        <v>45384.60314814815</v>
      </c>
      <c r="D223" s="1" t="s">
        <v>978</v>
      </c>
      <c r="F223" s="3">
        <f>IFERROR(__xludf.DUMMYFUNCTION("INT((DATE(INDEX(SPLIT(B223,""/| |:""),3), INDEX(SPLIT(B223,""/| |:""),2), INDEX(SPLIT(B223,""/| |:""),1)) + TIME(INDEX(SPLIT(B223,""/| |:""),4), INDEX(SPLIT(B223,""/| |:""),5), INDEX(SPLIT(B223,""/| |:""),6)) - DATE(1970,1,1)) * 86400)"),1.701872912E9)</f>
        <v>1701872912</v>
      </c>
      <c r="G223" s="3">
        <f>IFERROR(__xludf.DUMMYFUNCTION("INT((DATE(INDEX(SPLIT(C223,""/| |:""),3), INDEX(SPLIT(C223,""/| |:""),2), INDEX(SPLIT(C223,""/| |:""),1)) + TIME(INDEX(SPLIT(C223,""/| |:""),4), INDEX(SPLIT(C223,""/| |:""),5), INDEX(SPLIT(C223,""/| |:""),6)) - DATE(1970,1,1)) * 86400)"),1.707056912E9)</f>
        <v>1707056912</v>
      </c>
    </row>
    <row r="224">
      <c r="A224" s="1" t="s">
        <v>153</v>
      </c>
      <c r="B224" s="5">
        <v>45089.50884259259</v>
      </c>
      <c r="C224" s="7">
        <v>45384.50884259259</v>
      </c>
      <c r="D224" s="1" t="s">
        <v>978</v>
      </c>
      <c r="F224" s="3">
        <f>IFERROR(__xludf.DUMMYFUNCTION("INT((DATE(INDEX(SPLIT(B224,""/| |:""),3), INDEX(SPLIT(B224,""/| |:""),2), INDEX(SPLIT(B224,""/| |:""),1)) + TIME(INDEX(SPLIT(B224,""/| |:""),4), INDEX(SPLIT(B224,""/| |:""),5), INDEX(SPLIT(B224,""/| |:""),6)) - DATE(1970,1,1)) * 86400)"),1.701864764E9)</f>
        <v>1701864764</v>
      </c>
      <c r="G224" s="3">
        <f>IFERROR(__xludf.DUMMYFUNCTION("INT((DATE(INDEX(SPLIT(C224,""/| |:""),3), INDEX(SPLIT(C224,""/| |:""),2), INDEX(SPLIT(C224,""/| |:""),1)) + TIME(INDEX(SPLIT(C224,""/| |:""),4), INDEX(SPLIT(C224,""/| |:""),5), INDEX(SPLIT(C224,""/| |:""),6)) - DATE(1970,1,1)) * 86400)"),1.707048764E9)</f>
        <v>1707048764</v>
      </c>
    </row>
    <row r="225">
      <c r="A225" s="1" t="s">
        <v>154</v>
      </c>
      <c r="B225" s="5">
        <v>45089.34101851852</v>
      </c>
      <c r="C225" s="7">
        <v>45384.34101851852</v>
      </c>
      <c r="D225" s="1" t="s">
        <v>978</v>
      </c>
      <c r="F225" s="3">
        <f>IFERROR(__xludf.DUMMYFUNCTION("INT((DATE(INDEX(SPLIT(B225,""/| |:""),3), INDEX(SPLIT(B225,""/| |:""),2), INDEX(SPLIT(B225,""/| |:""),1)) + TIME(INDEX(SPLIT(B225,""/| |:""),4), INDEX(SPLIT(B225,""/| |:""),5), INDEX(SPLIT(B225,""/| |:""),6)) - DATE(1970,1,1)) * 86400)"),1.701850264E9)</f>
        <v>1701850264</v>
      </c>
      <c r="G225" s="3">
        <f>IFERROR(__xludf.DUMMYFUNCTION("INT((DATE(INDEX(SPLIT(C225,""/| |:""),3), INDEX(SPLIT(C225,""/| |:""),2), INDEX(SPLIT(C225,""/| |:""),1)) + TIME(INDEX(SPLIT(C225,""/| |:""),4), INDEX(SPLIT(C225,""/| |:""),5), INDEX(SPLIT(C225,""/| |:""),6)) - DATE(1970,1,1)) * 86400)"),1.707034264E9)</f>
        <v>1707034264</v>
      </c>
    </row>
    <row r="226">
      <c r="A226" s="1" t="s">
        <v>155</v>
      </c>
      <c r="B226" s="5">
        <v>45058.46763888889</v>
      </c>
      <c r="C226" s="7">
        <v>45353.46763888889</v>
      </c>
      <c r="D226" s="1" t="s">
        <v>978</v>
      </c>
      <c r="F226" s="3">
        <f>IFERROR(__xludf.DUMMYFUNCTION("INT((DATE(INDEX(SPLIT(B226,""/| |:""),3), INDEX(SPLIT(B226,""/| |:""),2), INDEX(SPLIT(B226,""/| |:""),1)) + TIME(INDEX(SPLIT(B226,""/| |:""),4), INDEX(SPLIT(B226,""/| |:""),5), INDEX(SPLIT(B226,""/| |:""),6)) - DATE(1970,1,1)) * 86400)"),1.701774804E9)</f>
        <v>1701774804</v>
      </c>
      <c r="G226" s="3">
        <f>IFERROR(__xludf.DUMMYFUNCTION("INT((DATE(INDEX(SPLIT(C226,""/| |:""),3), INDEX(SPLIT(C226,""/| |:""),2), INDEX(SPLIT(C226,""/| |:""),1)) + TIME(INDEX(SPLIT(C226,""/| |:""),4), INDEX(SPLIT(C226,""/| |:""),5), INDEX(SPLIT(C226,""/| |:""),6)) - DATE(1970,1,1)) * 86400)"),1.706958804E9)</f>
        <v>1706958804</v>
      </c>
    </row>
    <row r="227">
      <c r="A227" s="1" t="s">
        <v>156</v>
      </c>
      <c r="B227" s="5">
        <v>45058.46592592593</v>
      </c>
      <c r="C227" s="7">
        <v>45353.46592592593</v>
      </c>
      <c r="D227" s="1" t="s">
        <v>978</v>
      </c>
      <c r="F227" s="3">
        <f>IFERROR(__xludf.DUMMYFUNCTION("INT((DATE(INDEX(SPLIT(B227,""/| |:""),3), INDEX(SPLIT(B227,""/| |:""),2), INDEX(SPLIT(B227,""/| |:""),1)) + TIME(INDEX(SPLIT(B227,""/| |:""),4), INDEX(SPLIT(B227,""/| |:""),5), INDEX(SPLIT(B227,""/| |:""),6)) - DATE(1970,1,1)) * 86400)"),1.701774656E9)</f>
        <v>1701774656</v>
      </c>
      <c r="G227" s="3">
        <f>IFERROR(__xludf.DUMMYFUNCTION("INT((DATE(INDEX(SPLIT(C227,""/| |:""),3), INDEX(SPLIT(C227,""/| |:""),2), INDEX(SPLIT(C227,""/| |:""),1)) + TIME(INDEX(SPLIT(C227,""/| |:""),4), INDEX(SPLIT(C227,""/| |:""),5), INDEX(SPLIT(C227,""/| |:""),6)) - DATE(1970,1,1)) * 86400)"),1.706958656E9)</f>
        <v>1706958656</v>
      </c>
    </row>
    <row r="228">
      <c r="A228" s="1" t="s">
        <v>157</v>
      </c>
      <c r="B228" s="5">
        <v>45028.682534722226</v>
      </c>
      <c r="C228" s="7">
        <v>45324.682534722226</v>
      </c>
      <c r="D228" s="1" t="s">
        <v>978</v>
      </c>
      <c r="F228" s="3">
        <f>IFERROR(__xludf.DUMMYFUNCTION("INT((DATE(INDEX(SPLIT(B228,""/| |:""),3), INDEX(SPLIT(B228,""/| |:""),2), INDEX(SPLIT(B228,""/| |:""),1)) + TIME(INDEX(SPLIT(B228,""/| |:""),4), INDEX(SPLIT(B228,""/| |:""),5), INDEX(SPLIT(B228,""/| |:""),6)) - DATE(1970,1,1)) * 86400)"),1.701706971E9)</f>
        <v>1701706971</v>
      </c>
      <c r="G228" s="3">
        <f>IFERROR(__xludf.DUMMYFUNCTION("INT((DATE(INDEX(SPLIT(C228,""/| |:""),3), INDEX(SPLIT(C228,""/| |:""),2), INDEX(SPLIT(C228,""/| |:""),1)) + TIME(INDEX(SPLIT(C228,""/| |:""),4), INDEX(SPLIT(C228,""/| |:""),5), INDEX(SPLIT(C228,""/| |:""),6)) - DATE(1970,1,1)) * 86400)"),1.706890971E9)</f>
        <v>1706890971</v>
      </c>
    </row>
    <row r="229">
      <c r="A229" s="1" t="s">
        <v>158</v>
      </c>
      <c r="B229" s="5">
        <v>44969.916284722225</v>
      </c>
      <c r="C229" s="1" t="s">
        <v>993</v>
      </c>
      <c r="D229" s="1" t="s">
        <v>978</v>
      </c>
      <c r="F229" s="3">
        <f>IFERROR(__xludf.DUMMYFUNCTION("INT((DATE(INDEX(SPLIT(B229,""/| |:""),3), INDEX(SPLIT(B229,""/| |:""),2), INDEX(SPLIT(B229,""/| |:""),1)) + TIME(INDEX(SPLIT(B229,""/| |:""),4), INDEX(SPLIT(B229,""/| |:""),5), INDEX(SPLIT(B229,""/| |:""),6)) - DATE(1970,1,1)) * 86400)"),1.701554367E9)</f>
        <v>1701554367</v>
      </c>
      <c r="G229" s="3">
        <f>IFERROR(__xludf.DUMMYFUNCTION("INT((DATE(INDEX(SPLIT(C229,""/| |:""),3), INDEX(SPLIT(C229,""/| |:""),2), INDEX(SPLIT(C229,""/| |:""),1)) + TIME(INDEX(SPLIT(C229,""/| |:""),4), INDEX(SPLIT(C229,""/| |:""),5), INDEX(SPLIT(C229,""/| |:""),6)) - DATE(1970,1,1)) * 86400)"),1.706738367E9)</f>
        <v>1706738367</v>
      </c>
    </row>
    <row r="230">
      <c r="A230" s="1" t="s">
        <v>159</v>
      </c>
      <c r="B230" s="5">
        <v>44938.682025462964</v>
      </c>
      <c r="C230" s="1" t="s">
        <v>994</v>
      </c>
      <c r="D230" s="1" t="s">
        <v>978</v>
      </c>
      <c r="F230" s="3">
        <f>IFERROR(__xludf.DUMMYFUNCTION("INT((DATE(INDEX(SPLIT(B230,""/| |:""),3), INDEX(SPLIT(B230,""/| |:""),2), INDEX(SPLIT(B230,""/| |:""),1)) + TIME(INDEX(SPLIT(B230,""/| |:""),4), INDEX(SPLIT(B230,""/| |:""),5), INDEX(SPLIT(B230,""/| |:""),6)) - DATE(1970,1,1)) * 86400)"),1.701447727E9)</f>
        <v>1701447727</v>
      </c>
      <c r="G230" s="3">
        <f>IFERROR(__xludf.DUMMYFUNCTION("INT((DATE(INDEX(SPLIT(C230,""/| |:""),3), INDEX(SPLIT(C230,""/| |:""),2), INDEX(SPLIT(C230,""/| |:""),1)) + TIME(INDEX(SPLIT(C230,""/| |:""),4), INDEX(SPLIT(C230,""/| |:""),5), INDEX(SPLIT(C230,""/| |:""),6)) - DATE(1970,1,1)) * 86400)"),1.706631727E9)</f>
        <v>1706631727</v>
      </c>
    </row>
    <row r="231">
      <c r="A231" s="1" t="s">
        <v>160</v>
      </c>
      <c r="B231" s="5" t="s">
        <v>995</v>
      </c>
      <c r="C231" s="1" t="s">
        <v>996</v>
      </c>
      <c r="D231" s="1" t="s">
        <v>978</v>
      </c>
      <c r="F231" s="3">
        <f>IFERROR(__xludf.DUMMYFUNCTION("INT((DATE(INDEX(SPLIT(B231,""/| |:""),3), INDEX(SPLIT(B231,""/| |:""),2), INDEX(SPLIT(B231,""/| |:""),1)) + TIME(INDEX(SPLIT(B231,""/| |:""),4), INDEX(SPLIT(B231,""/| |:""),5), INDEX(SPLIT(B231,""/| |:""),6)) - DATE(1970,1,1)) * 86400)"),1.701364793E9)</f>
        <v>1701364793</v>
      </c>
      <c r="G231" s="3">
        <f>IFERROR(__xludf.DUMMYFUNCTION("INT((DATE(INDEX(SPLIT(C231,""/| |:""),3), INDEX(SPLIT(C231,""/| |:""),2), INDEX(SPLIT(C231,""/| |:""),1)) + TIME(INDEX(SPLIT(C231,""/| |:""),4), INDEX(SPLIT(C231,""/| |:""),5), INDEX(SPLIT(C231,""/| |:""),6)) - DATE(1970,1,1)) * 86400)"),1.706548793E9)</f>
        <v>1706548793</v>
      </c>
    </row>
    <row r="232">
      <c r="A232" s="1" t="s">
        <v>161</v>
      </c>
      <c r="B232" s="5" t="s">
        <v>997</v>
      </c>
      <c r="C232" s="1" t="s">
        <v>998</v>
      </c>
      <c r="D232" s="1" t="s">
        <v>978</v>
      </c>
      <c r="F232" s="3">
        <f>IFERROR(__xludf.DUMMYFUNCTION("INT((DATE(INDEX(SPLIT(B232,""/| |:""),3), INDEX(SPLIT(B232,""/| |:""),2), INDEX(SPLIT(B232,""/| |:""),1)) + TIME(INDEX(SPLIT(B232,""/| |:""),4), INDEX(SPLIT(B232,""/| |:""),5), INDEX(SPLIT(B232,""/| |:""),6)) - DATE(1970,1,1)) * 86400)"),1.70111663E9)</f>
        <v>1701116630</v>
      </c>
      <c r="G232" s="3">
        <f>IFERROR(__xludf.DUMMYFUNCTION("INT((DATE(INDEX(SPLIT(C232,""/| |:""),3), INDEX(SPLIT(C232,""/| |:""),2), INDEX(SPLIT(C232,""/| |:""),1)) + TIME(INDEX(SPLIT(C232,""/| |:""),4), INDEX(SPLIT(C232,""/| |:""),5), INDEX(SPLIT(C232,""/| |:""),6)) - DATE(1970,1,1)) * 86400)"),1.70630063E9)</f>
        <v>1706300630</v>
      </c>
    </row>
    <row r="233">
      <c r="A233" s="1" t="s">
        <v>162</v>
      </c>
      <c r="B233" s="5" t="s">
        <v>999</v>
      </c>
      <c r="C233" s="1" t="s">
        <v>1000</v>
      </c>
      <c r="D233" s="1" t="s">
        <v>978</v>
      </c>
      <c r="F233" s="3">
        <f>IFERROR(__xludf.DUMMYFUNCTION("INT((DATE(INDEX(SPLIT(B233,""/| |:""),3), INDEX(SPLIT(B233,""/| |:""),2), INDEX(SPLIT(B233,""/| |:""),1)) + TIME(INDEX(SPLIT(B233,""/| |:""),4), INDEX(SPLIT(B233,""/| |:""),5), INDEX(SPLIT(B233,""/| |:""),6)) - DATE(1970,1,1)) * 86400)"),1.701095624E9)</f>
        <v>1701095624</v>
      </c>
      <c r="G233" s="3">
        <f>IFERROR(__xludf.DUMMYFUNCTION("INT((DATE(INDEX(SPLIT(C233,""/| |:""),3), INDEX(SPLIT(C233,""/| |:""),2), INDEX(SPLIT(C233,""/| |:""),1)) + TIME(INDEX(SPLIT(C233,""/| |:""),4), INDEX(SPLIT(C233,""/| |:""),5), INDEX(SPLIT(C233,""/| |:""),6)) - DATE(1970,1,1)) * 86400)"),1.706279624E9)</f>
        <v>1706279624</v>
      </c>
    </row>
    <row r="234">
      <c r="A234" s="1" t="s">
        <v>163</v>
      </c>
      <c r="B234" s="5" t="s">
        <v>1001</v>
      </c>
      <c r="C234" s="1" t="s">
        <v>1002</v>
      </c>
      <c r="D234" s="1" t="s">
        <v>978</v>
      </c>
      <c r="F234" s="3">
        <f>IFERROR(__xludf.DUMMYFUNCTION("INT((DATE(INDEX(SPLIT(B234,""/| |:""),3), INDEX(SPLIT(B234,""/| |:""),2), INDEX(SPLIT(B234,""/| |:""),1)) + TIME(INDEX(SPLIT(B234,""/| |:""),4), INDEX(SPLIT(B234,""/| |:""),5), INDEX(SPLIT(B234,""/| |:""),6)) - DATE(1970,1,1)) * 86400)"),1.700036739E9)</f>
        <v>1700036739</v>
      </c>
      <c r="G234" s="3">
        <f>IFERROR(__xludf.DUMMYFUNCTION("INT((DATE(INDEX(SPLIT(C234,""/| |:""),3), INDEX(SPLIT(C234,""/| |:""),2), INDEX(SPLIT(C234,""/| |:""),1)) + TIME(INDEX(SPLIT(C234,""/| |:""),4), INDEX(SPLIT(C234,""/| |:""),5), INDEX(SPLIT(C234,""/| |:""),6)) - DATE(1970,1,1)) * 86400)"),1.705220739E9)</f>
        <v>1705220739</v>
      </c>
    </row>
    <row r="235">
      <c r="A235" s="1" t="s">
        <v>164</v>
      </c>
      <c r="B235" s="5">
        <v>44996.29959490741</v>
      </c>
      <c r="C235" s="7">
        <v>45323.29959490741</v>
      </c>
      <c r="D235" s="1" t="s">
        <v>978</v>
      </c>
      <c r="F235" s="3">
        <f>IFERROR(__xludf.DUMMYFUNCTION("INT((DATE(INDEX(SPLIT(B235,""/| |:""),3), INDEX(SPLIT(B235,""/| |:""),2), INDEX(SPLIT(B235,""/| |:""),1)) + TIME(INDEX(SPLIT(B235,""/| |:""),4), INDEX(SPLIT(B235,""/| |:""),5), INDEX(SPLIT(B235,""/| |:""),6)) - DATE(1970,1,1)) * 86400)"),1.698995485E9)</f>
        <v>1698995485</v>
      </c>
      <c r="G235" s="3">
        <f>IFERROR(__xludf.DUMMYFUNCTION("INT((DATE(INDEX(SPLIT(C235,""/| |:""),3), INDEX(SPLIT(C235,""/| |:""),2), INDEX(SPLIT(C235,""/| |:""),1)) + TIME(INDEX(SPLIT(C235,""/| |:""),4), INDEX(SPLIT(C235,""/| |:""),5), INDEX(SPLIT(C235,""/| |:""),6)) - DATE(1970,1,1)) * 86400)"),1.704179485E9)</f>
        <v>1704179485</v>
      </c>
    </row>
    <row r="236">
      <c r="A236" s="1" t="s">
        <v>165</v>
      </c>
      <c r="B236" s="5">
        <v>44968.80409722222</v>
      </c>
      <c r="C236" s="7">
        <v>45292.80409722222</v>
      </c>
      <c r="D236" s="1" t="s">
        <v>978</v>
      </c>
      <c r="F236" s="3">
        <f>IFERROR(__xludf.DUMMYFUNCTION("INT((DATE(INDEX(SPLIT(B236,""/| |:""),3), INDEX(SPLIT(B236,""/| |:""),2), INDEX(SPLIT(B236,""/| |:""),1)) + TIME(INDEX(SPLIT(B236,""/| |:""),4), INDEX(SPLIT(B236,""/| |:""),5), INDEX(SPLIT(B236,""/| |:""),6)) - DATE(1970,1,1)) * 86400)"),1.698952674E9)</f>
        <v>1698952674</v>
      </c>
      <c r="G236" s="3">
        <f>IFERROR(__xludf.DUMMYFUNCTION("INT((DATE(INDEX(SPLIT(C236,""/| |:""),3), INDEX(SPLIT(C236,""/| |:""),2), INDEX(SPLIT(C236,""/| |:""),1)) + TIME(INDEX(SPLIT(C236,""/| |:""),4), INDEX(SPLIT(C236,""/| |:""),5), INDEX(SPLIT(C236,""/| |:""),6)) - DATE(1970,1,1)) * 86400)"),1.704136674E9)</f>
        <v>1704136674</v>
      </c>
    </row>
    <row r="237">
      <c r="A237" s="1" t="s">
        <v>166</v>
      </c>
      <c r="B237" s="5">
        <v>44968.68828703704</v>
      </c>
      <c r="C237" s="7">
        <v>45292.68828703704</v>
      </c>
      <c r="D237" s="1" t="s">
        <v>978</v>
      </c>
      <c r="F237" s="3">
        <f>IFERROR(__xludf.DUMMYFUNCTION("INT((DATE(INDEX(SPLIT(B237,""/| |:""),3), INDEX(SPLIT(B237,""/| |:""),2), INDEX(SPLIT(B237,""/| |:""),1)) + TIME(INDEX(SPLIT(B237,""/| |:""),4), INDEX(SPLIT(B237,""/| |:""),5), INDEX(SPLIT(B237,""/| |:""),6)) - DATE(1970,1,1)) * 86400)"),1.698942668E9)</f>
        <v>1698942668</v>
      </c>
      <c r="G237" s="3">
        <f>IFERROR(__xludf.DUMMYFUNCTION("INT((DATE(INDEX(SPLIT(C237,""/| |:""),3), INDEX(SPLIT(C237,""/| |:""),2), INDEX(SPLIT(C237,""/| |:""),1)) + TIME(INDEX(SPLIT(C237,""/| |:""),4), INDEX(SPLIT(C237,""/| |:""),5), INDEX(SPLIT(C237,""/| |:""),6)) - DATE(1970,1,1)) * 86400)"),1.704126668E9)</f>
        <v>1704126668</v>
      </c>
    </row>
    <row r="238">
      <c r="A238" s="1" t="s">
        <v>167</v>
      </c>
      <c r="B238" s="5">
        <v>44968.521689814814</v>
      </c>
      <c r="C238" s="7">
        <v>45292.521689814814</v>
      </c>
      <c r="D238" s="1" t="s">
        <v>978</v>
      </c>
      <c r="F238" s="3">
        <f>IFERROR(__xludf.DUMMYFUNCTION("INT((DATE(INDEX(SPLIT(B238,""/| |:""),3), INDEX(SPLIT(B238,""/| |:""),2), INDEX(SPLIT(B238,""/| |:""),1)) + TIME(INDEX(SPLIT(B238,""/| |:""),4), INDEX(SPLIT(B238,""/| |:""),5), INDEX(SPLIT(B238,""/| |:""),6)) - DATE(1970,1,1)) * 86400)"),1.698928274E9)</f>
        <v>1698928274</v>
      </c>
      <c r="G238" s="3">
        <f>IFERROR(__xludf.DUMMYFUNCTION("INT((DATE(INDEX(SPLIT(C238,""/| |:""),3), INDEX(SPLIT(C238,""/| |:""),2), INDEX(SPLIT(C238,""/| |:""),1)) + TIME(INDEX(SPLIT(C238,""/| |:""),4), INDEX(SPLIT(C238,""/| |:""),5), INDEX(SPLIT(C238,""/| |:""),6)) - DATE(1970,1,1)) * 86400)"),1.704112274E9)</f>
        <v>1704112274</v>
      </c>
    </row>
    <row r="239">
      <c r="A239" s="1" t="s">
        <v>163</v>
      </c>
      <c r="B239" s="5">
        <v>44968.501747685186</v>
      </c>
      <c r="C239" s="7">
        <v>45292.501747685186</v>
      </c>
      <c r="D239" s="1" t="s">
        <v>978</v>
      </c>
      <c r="F239" s="3">
        <f>IFERROR(__xludf.DUMMYFUNCTION("INT((DATE(INDEX(SPLIT(B239,""/| |:""),3), INDEX(SPLIT(B239,""/| |:""),2), INDEX(SPLIT(B239,""/| |:""),1)) + TIME(INDEX(SPLIT(B239,""/| |:""),4), INDEX(SPLIT(B239,""/| |:""),5), INDEX(SPLIT(B239,""/| |:""),6)) - DATE(1970,1,1)) * 86400)"),1.698926551E9)</f>
        <v>1698926551</v>
      </c>
      <c r="G239" s="3">
        <f>IFERROR(__xludf.DUMMYFUNCTION("INT((DATE(INDEX(SPLIT(C239,""/| |:""),3), INDEX(SPLIT(C239,""/| |:""),2), INDEX(SPLIT(C239,""/| |:""),1)) + TIME(INDEX(SPLIT(C239,""/| |:""),4), INDEX(SPLIT(C239,""/| |:""),5), INDEX(SPLIT(C239,""/| |:""),6)) - DATE(1970,1,1)) * 86400)"),1.704110551E9)</f>
        <v>1704110551</v>
      </c>
    </row>
    <row r="240">
      <c r="A240" s="1" t="s">
        <v>168</v>
      </c>
      <c r="B240" s="5" t="s">
        <v>1003</v>
      </c>
      <c r="C240" s="1" t="s">
        <v>1004</v>
      </c>
      <c r="D240" s="1" t="s">
        <v>978</v>
      </c>
      <c r="F240" s="3">
        <f>IFERROR(__xludf.DUMMYFUNCTION("INT((DATE(INDEX(SPLIT(B240,""/| |:""),3), INDEX(SPLIT(B240,""/| |:""),2), INDEX(SPLIT(B240,""/| |:""),1)) + TIME(INDEX(SPLIT(B240,""/| |:""),4), INDEX(SPLIT(B240,""/| |:""),5), INDEX(SPLIT(B240,""/| |:""),6)) - DATE(1970,1,1)) * 86400)"),1.698091372E9)</f>
        <v>1698091372</v>
      </c>
      <c r="G240" s="3">
        <f>IFERROR(__xludf.DUMMYFUNCTION("INT((DATE(INDEX(SPLIT(C240,""/| |:""),3), INDEX(SPLIT(C240,""/| |:""),2), INDEX(SPLIT(C240,""/| |:""),1)) + TIME(INDEX(SPLIT(C240,""/| |:""),4), INDEX(SPLIT(C240,""/| |:""),5), INDEX(SPLIT(C240,""/| |:""),6)) - DATE(1970,1,1)) * 86400)"),1.703275372E9)</f>
        <v>1703275372</v>
      </c>
    </row>
    <row r="241">
      <c r="A241" s="1" t="s">
        <v>142</v>
      </c>
      <c r="B241" s="5" t="s">
        <v>1005</v>
      </c>
      <c r="C241" s="1" t="s">
        <v>1006</v>
      </c>
      <c r="D241" s="1" t="s">
        <v>1007</v>
      </c>
      <c r="F241" s="3">
        <f>IFERROR(__xludf.DUMMYFUNCTION("INT((DATE(INDEX(SPLIT(B241,""/| |:""),3), INDEX(SPLIT(B241,""/| |:""),2), INDEX(SPLIT(B241,""/| |:""),1)) + TIME(INDEX(SPLIT(B241,""/| |:""),4), INDEX(SPLIT(B241,""/| |:""),5), INDEX(SPLIT(B241,""/| |:""),6)) - DATE(1970,1,1)) * 86400)"),1.709141111E9)</f>
        <v>1709141111</v>
      </c>
      <c r="G241" s="3">
        <f>IFERROR(__xludf.DUMMYFUNCTION("INT((DATE(INDEX(SPLIT(C241,""/| |:""),3), INDEX(SPLIT(C241,""/| |:""),2), INDEX(SPLIT(C241,""/| |:""),1)) + TIME(INDEX(SPLIT(C241,""/| |:""),4), INDEX(SPLIT(C241,""/| |:""),5), INDEX(SPLIT(C241,""/| |:""),6)) - DATE(1970,1,1)) * 86400)"),1.714325111E9)</f>
        <v>1714325111</v>
      </c>
    </row>
    <row r="242">
      <c r="A242" s="1" t="s">
        <v>141</v>
      </c>
      <c r="B242" s="5" t="s">
        <v>1008</v>
      </c>
      <c r="C242" s="1" t="s">
        <v>1009</v>
      </c>
      <c r="D242" s="1" t="s">
        <v>1010</v>
      </c>
      <c r="F242" s="3">
        <f>IFERROR(__xludf.DUMMYFUNCTION("INT((DATE(INDEX(SPLIT(B242,""/| |:""),3), INDEX(SPLIT(B242,""/| |:""),2), INDEX(SPLIT(B242,""/| |:""),1)) + TIME(INDEX(SPLIT(B242,""/| |:""),4), INDEX(SPLIT(B242,""/| |:""),5), INDEX(SPLIT(B242,""/| |:""),6)) - DATE(1970,1,1)) * 86400)"),1.709226487E9)</f>
        <v>1709226487</v>
      </c>
      <c r="G242" s="3">
        <f>IFERROR(__xludf.DUMMYFUNCTION("INT((DATE(INDEX(SPLIT(C242,""/| |:""),3), INDEX(SPLIT(C242,""/| |:""),2), INDEX(SPLIT(C242,""/| |:""),1)) + TIME(INDEX(SPLIT(C242,""/| |:""),4), INDEX(SPLIT(C242,""/| |:""),5), INDEX(SPLIT(C242,""/| |:""),6)) - DATE(1970,1,1)) * 86400)"),1.714410487E9)</f>
        <v>1714410487</v>
      </c>
    </row>
    <row r="243">
      <c r="A243" s="1" t="s">
        <v>86</v>
      </c>
      <c r="B243" s="5" t="s">
        <v>1011</v>
      </c>
      <c r="C243" s="1" t="s">
        <v>1012</v>
      </c>
      <c r="D243" s="1" t="s">
        <v>1013</v>
      </c>
      <c r="F243" s="3">
        <f>IFERROR(__xludf.DUMMYFUNCTION("INT((DATE(INDEX(SPLIT(B243,""/| |:""),3), INDEX(SPLIT(B243,""/| |:""),2), INDEX(SPLIT(B243,""/| |:""),1)) + TIME(INDEX(SPLIT(B243,""/| |:""),4), INDEX(SPLIT(B243,""/| |:""),5), INDEX(SPLIT(B243,""/| |:""),6)) - DATE(1970,1,1)) * 86400)"),1.709227811E9)</f>
        <v>1709227811</v>
      </c>
      <c r="G243" s="3">
        <f>IFERROR(__xludf.DUMMYFUNCTION("INT((DATE(INDEX(SPLIT(C243,""/| |:""),3), INDEX(SPLIT(C243,""/| |:""),2), INDEX(SPLIT(C243,""/| |:""),1)) + TIME(INDEX(SPLIT(C243,""/| |:""),4), INDEX(SPLIT(C243,""/| |:""),5), INDEX(SPLIT(C243,""/| |:""),6)) - DATE(1970,1,1)) * 86400)"),1.714411811E9)</f>
        <v>1714411811</v>
      </c>
    </row>
    <row r="244">
      <c r="A244" s="1" t="s">
        <v>86</v>
      </c>
      <c r="B244" s="5" t="s">
        <v>1014</v>
      </c>
      <c r="C244" s="1" t="s">
        <v>1015</v>
      </c>
      <c r="D244" s="1" t="s">
        <v>1016</v>
      </c>
      <c r="F244" s="3">
        <f>IFERROR(__xludf.DUMMYFUNCTION("INT((DATE(INDEX(SPLIT(B244,""/| |:""),3), INDEX(SPLIT(B244,""/| |:""),2), INDEX(SPLIT(B244,""/| |:""),1)) + TIME(INDEX(SPLIT(B244,""/| |:""),4), INDEX(SPLIT(B244,""/| |:""),5), INDEX(SPLIT(B244,""/| |:""),6)) - DATE(1970,1,1)) * 86400)"),1.709228224E9)</f>
        <v>1709228224</v>
      </c>
      <c r="G244" s="3">
        <f>IFERROR(__xludf.DUMMYFUNCTION("INT((DATE(INDEX(SPLIT(C244,""/| |:""),3), INDEX(SPLIT(C244,""/| |:""),2), INDEX(SPLIT(C244,""/| |:""),1)) + TIME(INDEX(SPLIT(C244,""/| |:""),4), INDEX(SPLIT(C244,""/| |:""),5), INDEX(SPLIT(C244,""/| |:""),6)) - DATE(1970,1,1)) * 86400)"),1.714412224E9)</f>
        <v>1714412224</v>
      </c>
    </row>
    <row r="245">
      <c r="A245" s="1" t="s">
        <v>86</v>
      </c>
      <c r="B245" s="5" t="s">
        <v>1017</v>
      </c>
      <c r="C245" s="1" t="s">
        <v>1018</v>
      </c>
      <c r="D245" s="1" t="s">
        <v>1019</v>
      </c>
      <c r="F245" s="3">
        <f>IFERROR(__xludf.DUMMYFUNCTION("INT((DATE(INDEX(SPLIT(B245,""/| |:""),3), INDEX(SPLIT(B245,""/| |:""),2), INDEX(SPLIT(B245,""/| |:""),1)) + TIME(INDEX(SPLIT(B245,""/| |:""),4), INDEX(SPLIT(B245,""/| |:""),5), INDEX(SPLIT(B245,""/| |:""),6)) - DATE(1970,1,1)) * 86400)"),1.709228306E9)</f>
        <v>1709228306</v>
      </c>
      <c r="G245" s="3">
        <f>IFERROR(__xludf.DUMMYFUNCTION("INT((DATE(INDEX(SPLIT(C245,""/| |:""),3), INDEX(SPLIT(C245,""/| |:""),2), INDEX(SPLIT(C245,""/| |:""),1)) + TIME(INDEX(SPLIT(C245,""/| |:""),4), INDEX(SPLIT(C245,""/| |:""),5), INDEX(SPLIT(C245,""/| |:""),6)) - DATE(1970,1,1)) * 86400)"),1.714412306E9)</f>
        <v>1714412306</v>
      </c>
    </row>
    <row r="246">
      <c r="A246" s="1" t="s">
        <v>140</v>
      </c>
      <c r="B246" s="5" t="s">
        <v>1020</v>
      </c>
      <c r="C246" s="1" t="s">
        <v>1021</v>
      </c>
      <c r="D246" s="1" t="s">
        <v>1022</v>
      </c>
      <c r="F246" s="3">
        <f>IFERROR(__xludf.DUMMYFUNCTION("INT((DATE(INDEX(SPLIT(B246,""/| |:""),3), INDEX(SPLIT(B246,""/| |:""),2), INDEX(SPLIT(B246,""/| |:""),1)) + TIME(INDEX(SPLIT(B246,""/| |:""),4), INDEX(SPLIT(B246,""/| |:""),5), INDEX(SPLIT(B246,""/| |:""),6)) - DATE(1970,1,1)) * 86400)"),1.709229133E9)</f>
        <v>1709229133</v>
      </c>
      <c r="G246" s="3">
        <f>IFERROR(__xludf.DUMMYFUNCTION("INT((DATE(INDEX(SPLIT(C246,""/| |:""),3), INDEX(SPLIT(C246,""/| |:""),2), INDEX(SPLIT(C246,""/| |:""),1)) + TIME(INDEX(SPLIT(C246,""/| |:""),4), INDEX(SPLIT(C246,""/| |:""),5), INDEX(SPLIT(C246,""/| |:""),6)) - DATE(1970,1,1)) * 86400)"),1.714413133E9)</f>
        <v>1714413133</v>
      </c>
    </row>
    <row r="247">
      <c r="A247" s="1" t="s">
        <v>139</v>
      </c>
      <c r="B247" s="5" t="s">
        <v>1023</v>
      </c>
      <c r="C247" s="1" t="s">
        <v>1024</v>
      </c>
      <c r="D247" s="1" t="s">
        <v>1025</v>
      </c>
      <c r="F247" s="3">
        <f>IFERROR(__xludf.DUMMYFUNCTION("INT((DATE(INDEX(SPLIT(B247,""/| |:""),3), INDEX(SPLIT(B247,""/| |:""),2), INDEX(SPLIT(B247,""/| |:""),1)) + TIME(INDEX(SPLIT(B247,""/| |:""),4), INDEX(SPLIT(B247,""/| |:""),5), INDEX(SPLIT(B247,""/| |:""),6)) - DATE(1970,1,1)) * 86400)"),1.709235233E9)</f>
        <v>1709235233</v>
      </c>
      <c r="G247" s="3">
        <f>IFERROR(__xludf.DUMMYFUNCTION("INT((DATE(INDEX(SPLIT(C247,""/| |:""),3), INDEX(SPLIT(C247,""/| |:""),2), INDEX(SPLIT(C247,""/| |:""),1)) + TIME(INDEX(SPLIT(C247,""/| |:""),4), INDEX(SPLIT(C247,""/| |:""),5), INDEX(SPLIT(C247,""/| |:""),6)) - DATE(1970,1,1)) * 86400)"),1.714419233E9)</f>
        <v>1714419233</v>
      </c>
    </row>
    <row r="248">
      <c r="A248" s="1" t="s">
        <v>138</v>
      </c>
      <c r="B248" s="5" t="s">
        <v>1026</v>
      </c>
      <c r="C248" s="1" t="s">
        <v>1027</v>
      </c>
      <c r="D248" s="1" t="s">
        <v>1028</v>
      </c>
      <c r="F248" s="3">
        <f>IFERROR(__xludf.DUMMYFUNCTION("INT((DATE(INDEX(SPLIT(B248,""/| |:""),3), INDEX(SPLIT(B248,""/| |:""),2), INDEX(SPLIT(B248,""/| |:""),1)) + TIME(INDEX(SPLIT(B248,""/| |:""),4), INDEX(SPLIT(B248,""/| |:""),5), INDEX(SPLIT(B248,""/| |:""),6)) - DATE(1970,1,1)) * 86400)"),1.709239319E9)</f>
        <v>1709239319</v>
      </c>
      <c r="G248" s="3">
        <f>IFERROR(__xludf.DUMMYFUNCTION("INT((DATE(INDEX(SPLIT(C248,""/| |:""),3), INDEX(SPLIT(C248,""/| |:""),2), INDEX(SPLIT(C248,""/| |:""),1)) + TIME(INDEX(SPLIT(C248,""/| |:""),4), INDEX(SPLIT(C248,""/| |:""),5), INDEX(SPLIT(C248,""/| |:""),6)) - DATE(1970,1,1)) * 86400)"),1.714423319E9)</f>
        <v>1714423319</v>
      </c>
    </row>
    <row r="249">
      <c r="A249" s="1" t="s">
        <v>137</v>
      </c>
      <c r="B249" s="5" t="s">
        <v>1029</v>
      </c>
      <c r="C249" s="1" t="s">
        <v>1030</v>
      </c>
      <c r="D249" s="1" t="s">
        <v>1031</v>
      </c>
      <c r="F249" s="3">
        <f>IFERROR(__xludf.DUMMYFUNCTION("INT((DATE(INDEX(SPLIT(B249,""/| |:""),3), INDEX(SPLIT(B249,""/| |:""),2), INDEX(SPLIT(B249,""/| |:""),1)) + TIME(INDEX(SPLIT(B249,""/| |:""),4), INDEX(SPLIT(B249,""/| |:""),5), INDEX(SPLIT(B249,""/| |:""),6)) - DATE(1970,1,1)) * 86400)"),1.709241944E9)</f>
        <v>1709241944</v>
      </c>
      <c r="G249" s="3">
        <f>IFERROR(__xludf.DUMMYFUNCTION("INT((DATE(INDEX(SPLIT(C249,""/| |:""),3), INDEX(SPLIT(C249,""/| |:""),2), INDEX(SPLIT(C249,""/| |:""),1)) + TIME(INDEX(SPLIT(C249,""/| |:""),4), INDEX(SPLIT(C249,""/| |:""),5), INDEX(SPLIT(C249,""/| |:""),6)) - DATE(1970,1,1)) * 86400)"),1.714425944E9)</f>
        <v>1714425944</v>
      </c>
    </row>
    <row r="250">
      <c r="A250" s="1" t="s">
        <v>136</v>
      </c>
      <c r="B250" s="5" t="s">
        <v>1032</v>
      </c>
      <c r="C250" s="1" t="s">
        <v>1033</v>
      </c>
      <c r="D250" s="1" t="s">
        <v>1034</v>
      </c>
      <c r="F250" s="3">
        <f>IFERROR(__xludf.DUMMYFUNCTION("INT((DATE(INDEX(SPLIT(B250,""/| |:""),3), INDEX(SPLIT(B250,""/| |:""),2), INDEX(SPLIT(B250,""/| |:""),1)) + TIME(INDEX(SPLIT(B250,""/| |:""),4), INDEX(SPLIT(B250,""/| |:""),5), INDEX(SPLIT(B250,""/| |:""),6)) - DATE(1970,1,1)) * 86400)"),1.709242356E9)</f>
        <v>1709242356</v>
      </c>
      <c r="G250" s="3">
        <f>IFERROR(__xludf.DUMMYFUNCTION("INT((DATE(INDEX(SPLIT(C250,""/| |:""),3), INDEX(SPLIT(C250,""/| |:""),2), INDEX(SPLIT(C250,""/| |:""),1)) + TIME(INDEX(SPLIT(C250,""/| |:""),4), INDEX(SPLIT(C250,""/| |:""),5), INDEX(SPLIT(C250,""/| |:""),6)) - DATE(1970,1,1)) * 86400)"),1.714426356E9)</f>
        <v>1714426356</v>
      </c>
    </row>
    <row r="251">
      <c r="A251" s="1" t="s">
        <v>86</v>
      </c>
      <c r="B251" s="5">
        <v>45294.58574074074</v>
      </c>
      <c r="C251" s="1" t="s">
        <v>1035</v>
      </c>
      <c r="D251" s="1" t="s">
        <v>1036</v>
      </c>
      <c r="F251" s="3">
        <f>IFERROR(__xludf.DUMMYFUNCTION("INT((DATE(INDEX(SPLIT(B251,""/| |:""),3), INDEX(SPLIT(B251,""/| |:""),2), INDEX(SPLIT(B251,""/| |:""),1)) + TIME(INDEX(SPLIT(B251,""/| |:""),4), INDEX(SPLIT(B251,""/| |:""),5), INDEX(SPLIT(B251,""/| |:""),6)) - DATE(1970,1,1)) * 86400)"),1.709301808E9)</f>
        <v>1709301808</v>
      </c>
      <c r="G251" s="3">
        <f>IFERROR(__xludf.DUMMYFUNCTION("INT((DATE(INDEX(SPLIT(C251,""/| |:""),3), INDEX(SPLIT(C251,""/| |:""),2), INDEX(SPLIT(C251,""/| |:""),1)) + TIME(INDEX(SPLIT(C251,""/| |:""),4), INDEX(SPLIT(C251,""/| |:""),5), INDEX(SPLIT(C251,""/| |:""),6)) - DATE(1970,1,1)) * 86400)"),1.714485808E9)</f>
        <v>1714485808</v>
      </c>
    </row>
    <row r="252">
      <c r="A252" s="1" t="s">
        <v>135</v>
      </c>
      <c r="B252" s="5">
        <v>45294.64791666667</v>
      </c>
      <c r="C252" s="1" t="s">
        <v>1037</v>
      </c>
      <c r="D252" s="1" t="s">
        <v>1038</v>
      </c>
      <c r="F252" s="3">
        <f>IFERROR(__xludf.DUMMYFUNCTION("INT((DATE(INDEX(SPLIT(B252,""/| |:""),3), INDEX(SPLIT(B252,""/| |:""),2), INDEX(SPLIT(B252,""/| |:""),1)) + TIME(INDEX(SPLIT(B252,""/| |:""),4), INDEX(SPLIT(B252,""/| |:""),5), INDEX(SPLIT(B252,""/| |:""),6)) - DATE(1970,1,1)) * 86400)"),1.70930718E9)</f>
        <v>1709307180</v>
      </c>
      <c r="G252" s="3">
        <f>IFERROR(__xludf.DUMMYFUNCTION("INT((DATE(INDEX(SPLIT(C252,""/| |:""),3), INDEX(SPLIT(C252,""/| |:""),2), INDEX(SPLIT(C252,""/| |:""),1)) + TIME(INDEX(SPLIT(C252,""/| |:""),4), INDEX(SPLIT(C252,""/| |:""),5), INDEX(SPLIT(C252,""/| |:""),6)) - DATE(1970,1,1)) * 86400)"),1.71449118E9)</f>
        <v>1714491180</v>
      </c>
    </row>
    <row r="253">
      <c r="A253" s="1" t="s">
        <v>49</v>
      </c>
      <c r="B253" s="5">
        <v>45325.319236111114</v>
      </c>
      <c r="C253" s="7">
        <v>45296.319236111114</v>
      </c>
      <c r="D253" s="1" t="s">
        <v>1039</v>
      </c>
      <c r="F253" s="3">
        <f>IFERROR(__xludf.DUMMYFUNCTION("INT((DATE(INDEX(SPLIT(B253,""/| |:""),3), INDEX(SPLIT(B253,""/| |:""),2), INDEX(SPLIT(B253,""/| |:""),1)) + TIME(INDEX(SPLIT(B253,""/| |:""),4), INDEX(SPLIT(B253,""/| |:""),5), INDEX(SPLIT(B253,""/| |:""),6)) - DATE(1970,1,1)) * 86400)"),1.709365182E9)</f>
        <v>1709365182</v>
      </c>
      <c r="G253" s="3">
        <f>IFERROR(__xludf.DUMMYFUNCTION("INT((DATE(INDEX(SPLIT(C253,""/| |:""),3), INDEX(SPLIT(C253,""/| |:""),2), INDEX(SPLIT(C253,""/| |:""),1)) + TIME(INDEX(SPLIT(C253,""/| |:""),4), INDEX(SPLIT(C253,""/| |:""),5), INDEX(SPLIT(C253,""/| |:""),6)) - DATE(1970,1,1)) * 86400)"),1.714549182E9)</f>
        <v>1714549182</v>
      </c>
    </row>
    <row r="254">
      <c r="A254" s="1" t="s">
        <v>133</v>
      </c>
      <c r="B254" s="5">
        <v>45354.718819444446</v>
      </c>
      <c r="C254" s="7">
        <v>45327.718819444446</v>
      </c>
      <c r="D254" s="1" t="s">
        <v>1040</v>
      </c>
      <c r="F254" s="3">
        <f>IFERROR(__xludf.DUMMYFUNCTION("INT((DATE(INDEX(SPLIT(B254,""/| |:""),3), INDEX(SPLIT(B254,""/| |:""),2), INDEX(SPLIT(B254,""/| |:""),1)) + TIME(INDEX(SPLIT(B254,""/| |:""),4), INDEX(SPLIT(B254,""/| |:""),5), INDEX(SPLIT(B254,""/| |:""),6)) - DATE(1970,1,1)) * 86400)"),1.709486106E9)</f>
        <v>1709486106</v>
      </c>
      <c r="G254" s="3">
        <f>IFERROR(__xludf.DUMMYFUNCTION("INT((DATE(INDEX(SPLIT(C254,""/| |:""),3), INDEX(SPLIT(C254,""/| |:""),2), INDEX(SPLIT(C254,""/| |:""),1)) + TIME(INDEX(SPLIT(C254,""/| |:""),4), INDEX(SPLIT(C254,""/| |:""),5), INDEX(SPLIT(C254,""/| |:""),6)) - DATE(1970,1,1)) * 86400)"),1.714670106E9)</f>
        <v>1714670106</v>
      </c>
    </row>
    <row r="255">
      <c r="A255" s="1" t="s">
        <v>132</v>
      </c>
      <c r="B255" s="5">
        <v>45385.728541666664</v>
      </c>
      <c r="C255" s="7">
        <v>45356.728541666664</v>
      </c>
      <c r="D255" s="1" t="s">
        <v>1041</v>
      </c>
      <c r="F255" s="3">
        <f>IFERROR(__xludf.DUMMYFUNCTION("INT((DATE(INDEX(SPLIT(B255,""/| |:""),3), INDEX(SPLIT(B255,""/| |:""),2), INDEX(SPLIT(B255,""/| |:""),1)) + TIME(INDEX(SPLIT(B255,""/| |:""),4), INDEX(SPLIT(B255,""/| |:""),5), INDEX(SPLIT(B255,""/| |:""),6)) - DATE(1970,1,1)) * 86400)"),1.709573346E9)</f>
        <v>1709573346</v>
      </c>
      <c r="G255" s="3">
        <f>IFERROR(__xludf.DUMMYFUNCTION("INT((DATE(INDEX(SPLIT(C255,""/| |:""),3), INDEX(SPLIT(C255,""/| |:""),2), INDEX(SPLIT(C255,""/| |:""),1)) + TIME(INDEX(SPLIT(C255,""/| |:""),4), INDEX(SPLIT(C255,""/| |:""),5), INDEX(SPLIT(C255,""/| |:""),6)) - DATE(1970,1,1)) * 86400)"),1.714757346E9)</f>
        <v>1714757346</v>
      </c>
    </row>
    <row r="256">
      <c r="A256" s="1" t="s">
        <v>131</v>
      </c>
      <c r="B256" s="5">
        <v>45446.507731481484</v>
      </c>
      <c r="C256" s="7">
        <v>45417.507731481484</v>
      </c>
      <c r="D256" s="1" t="s">
        <v>1042</v>
      </c>
      <c r="F256" s="3">
        <f>IFERROR(__xludf.DUMMYFUNCTION("INT((DATE(INDEX(SPLIT(B256,""/| |:""),3), INDEX(SPLIT(B256,""/| |:""),2), INDEX(SPLIT(B256,""/| |:""),1)) + TIME(INDEX(SPLIT(B256,""/| |:""),4), INDEX(SPLIT(B256,""/| |:""),5), INDEX(SPLIT(B256,""/| |:""),6)) - DATE(1970,1,1)) * 86400)"),1.709727068E9)</f>
        <v>1709727068</v>
      </c>
      <c r="G256" s="3">
        <f>IFERROR(__xludf.DUMMYFUNCTION("INT((DATE(INDEX(SPLIT(C256,""/| |:""),3), INDEX(SPLIT(C256,""/| |:""),2), INDEX(SPLIT(C256,""/| |:""),1)) + TIME(INDEX(SPLIT(C256,""/| |:""),4), INDEX(SPLIT(C256,""/| |:""),5), INDEX(SPLIT(C256,""/| |:""),6)) - DATE(1970,1,1)) * 86400)"),1.714911068E9)</f>
        <v>1714911068</v>
      </c>
    </row>
    <row r="257">
      <c r="A257" s="1" t="s">
        <v>130</v>
      </c>
      <c r="B257" s="5">
        <v>45446.60383101852</v>
      </c>
      <c r="C257" s="7">
        <v>45417.60383101852</v>
      </c>
      <c r="D257" s="1" t="s">
        <v>1043</v>
      </c>
      <c r="F257" s="3">
        <f>IFERROR(__xludf.DUMMYFUNCTION("INT((DATE(INDEX(SPLIT(B257,""/| |:""),3), INDEX(SPLIT(B257,""/| |:""),2), INDEX(SPLIT(B257,""/| |:""),1)) + TIME(INDEX(SPLIT(B257,""/| |:""),4), INDEX(SPLIT(B257,""/| |:""),5), INDEX(SPLIT(B257,""/| |:""),6)) - DATE(1970,1,1)) * 86400)"),1.709735371E9)</f>
        <v>1709735371</v>
      </c>
      <c r="G257" s="3">
        <f>IFERROR(__xludf.DUMMYFUNCTION("INT((DATE(INDEX(SPLIT(C257,""/| |:""),3), INDEX(SPLIT(C257,""/| |:""),2), INDEX(SPLIT(C257,""/| |:""),1)) + TIME(INDEX(SPLIT(C257,""/| |:""),4), INDEX(SPLIT(C257,""/| |:""),5), INDEX(SPLIT(C257,""/| |:""),6)) - DATE(1970,1,1)) * 86400)"),1.714919371E9)</f>
        <v>1714919371</v>
      </c>
    </row>
    <row r="258">
      <c r="A258" s="1" t="s">
        <v>125</v>
      </c>
      <c r="B258" s="5">
        <v>45446.68113425926</v>
      </c>
      <c r="C258" s="7">
        <v>45417.68113425926</v>
      </c>
      <c r="D258" s="1" t="s">
        <v>1044</v>
      </c>
      <c r="F258" s="3">
        <f>IFERROR(__xludf.DUMMYFUNCTION("INT((DATE(INDEX(SPLIT(B258,""/| |:""),3), INDEX(SPLIT(B258,""/| |:""),2), INDEX(SPLIT(B258,""/| |:""),1)) + TIME(INDEX(SPLIT(B258,""/| |:""),4), INDEX(SPLIT(B258,""/| |:""),5), INDEX(SPLIT(B258,""/| |:""),6)) - DATE(1970,1,1)) * 86400)"),1.70974205E9)</f>
        <v>1709742050</v>
      </c>
      <c r="G258" s="3">
        <f>IFERROR(__xludf.DUMMYFUNCTION("INT((DATE(INDEX(SPLIT(C258,""/| |:""),3), INDEX(SPLIT(C258,""/| |:""),2), INDEX(SPLIT(C258,""/| |:""),1)) + TIME(INDEX(SPLIT(C258,""/| |:""),4), INDEX(SPLIT(C258,""/| |:""),5), INDEX(SPLIT(C258,""/| |:""),6)) - DATE(1970,1,1)) * 86400)"),1.71492605E9)</f>
        <v>1714926050</v>
      </c>
    </row>
    <row r="259">
      <c r="A259" s="1" t="s">
        <v>129</v>
      </c>
      <c r="B259" s="5" t="s">
        <v>1045</v>
      </c>
      <c r="C259" s="7">
        <v>45631.8894212963</v>
      </c>
      <c r="D259" s="1" t="s">
        <v>1046</v>
      </c>
      <c r="F259" s="3">
        <f>IFERROR(__xludf.DUMMYFUNCTION("INT((DATE(INDEX(SPLIT(B259,""/| |:""),3), INDEX(SPLIT(B259,""/| |:""),2), INDEX(SPLIT(B259,""/| |:""),1)) + TIME(INDEX(SPLIT(B259,""/| |:""),4), INDEX(SPLIT(B259,""/| |:""),5), INDEX(SPLIT(B259,""/| |:""),6)) - DATE(1970,1,1)) * 86400)"),1.710364846E9)</f>
        <v>1710364846</v>
      </c>
      <c r="G259" s="3">
        <f>IFERROR(__xludf.DUMMYFUNCTION("INT((DATE(INDEX(SPLIT(C259,""/| |:""),3), INDEX(SPLIT(C259,""/| |:""),2), INDEX(SPLIT(C259,""/| |:""),1)) + TIME(INDEX(SPLIT(C259,""/| |:""),4), INDEX(SPLIT(C259,""/| |:""),5), INDEX(SPLIT(C259,""/| |:""),6)) - DATE(1970,1,1)) * 86400)"),1.715548846E9)</f>
        <v>1715548846</v>
      </c>
    </row>
    <row r="260">
      <c r="A260" s="1" t="s">
        <v>134</v>
      </c>
      <c r="B260" s="5">
        <v>45325.40741898148</v>
      </c>
      <c r="C260" s="1" t="s">
        <v>1047</v>
      </c>
      <c r="D260" s="1" t="s">
        <v>1048</v>
      </c>
      <c r="F260" s="3">
        <f>IFERROR(__xludf.DUMMYFUNCTION("INT((DATE(INDEX(SPLIT(B260,""/| |:""),3), INDEX(SPLIT(B260,""/| |:""),2), INDEX(SPLIT(B260,""/| |:""),1)) + TIME(INDEX(SPLIT(B260,""/| |:""),4), INDEX(SPLIT(B260,""/| |:""),5), INDEX(SPLIT(B260,""/| |:""),6)) - DATE(1970,1,1)) * 86400)"),1.709372801E9)</f>
        <v>1709372801</v>
      </c>
      <c r="G260" s="3">
        <f>IFERROR(__xludf.DUMMYFUNCTION("INT((DATE(INDEX(SPLIT(C260,""/| |:""),3), INDEX(SPLIT(C260,""/| |:""),2), INDEX(SPLIT(C260,""/| |:""),1)) + TIME(INDEX(SPLIT(C260,""/| |:""),4), INDEX(SPLIT(C260,""/| |:""),5), INDEX(SPLIT(C260,""/| |:""),6)) - DATE(1970,1,1)) * 86400)"),1.713260801E9)</f>
        <v>1713260801</v>
      </c>
    </row>
    <row r="261">
      <c r="A261" s="1" t="s">
        <v>171</v>
      </c>
      <c r="B261" s="5">
        <v>45272.50332175926</v>
      </c>
      <c r="C261" s="1" t="s">
        <v>1049</v>
      </c>
      <c r="D261" s="1" t="s">
        <v>1050</v>
      </c>
      <c r="F261" s="3">
        <f>IFERROR(__xludf.DUMMYFUNCTION("INT((DATE(INDEX(SPLIT(B261,""/| |:""),3), INDEX(SPLIT(B261,""/| |:""),2), INDEX(SPLIT(B261,""/| |:""),1)) + TIME(INDEX(SPLIT(B261,""/| |:""),4), INDEX(SPLIT(B261,""/| |:""),5), INDEX(SPLIT(B261,""/| |:""),6)) - DATE(1970,1,1)) * 86400)"),1.702382687E9)</f>
        <v>1702382687</v>
      </c>
      <c r="G261" s="3">
        <f>IFERROR(__xludf.DUMMYFUNCTION("INT((DATE(INDEX(SPLIT(C261,""/| |:""),3), INDEX(SPLIT(C261,""/| |:""),2), INDEX(SPLIT(C261,""/| |:""),1)) + TIME(INDEX(SPLIT(C261,""/| |:""),4), INDEX(SPLIT(C261,""/| |:""),5), INDEX(SPLIT(C261,""/| |:""),6)) - DATE(1970,1,1)) * 86400)"),1.706270687E9)</f>
        <v>1706270687</v>
      </c>
    </row>
    <row r="262">
      <c r="A262" s="1" t="s">
        <v>172</v>
      </c>
      <c r="B262" s="5" t="s">
        <v>1051</v>
      </c>
      <c r="C262" s="7">
        <v>45352.56662037037</v>
      </c>
      <c r="D262" s="1" t="s">
        <v>1050</v>
      </c>
      <c r="F262" s="3">
        <f>IFERROR(__xludf.DUMMYFUNCTION("INT((DATE(INDEX(SPLIT(B262,""/| |:""),3), INDEX(SPLIT(B262,""/| |:""),2), INDEX(SPLIT(B262,""/| |:""),1)) + TIME(INDEX(SPLIT(B262,""/| |:""),4), INDEX(SPLIT(B262,""/| |:""),5), INDEX(SPLIT(B262,""/| |:""),6)) - DATE(1970,1,1)) * 86400)"),1.700400956E9)</f>
        <v>1700400956</v>
      </c>
      <c r="G262" s="3">
        <f>IFERROR(__xludf.DUMMYFUNCTION("INT((DATE(INDEX(SPLIT(C262,""/| |:""),3), INDEX(SPLIT(C262,""/| |:""),2), INDEX(SPLIT(C262,""/| |:""),1)) + TIME(INDEX(SPLIT(C262,""/| |:""),4), INDEX(SPLIT(C262,""/| |:""),5), INDEX(SPLIT(C262,""/| |:""),6)) - DATE(1970,1,1)) * 86400)"),1.704288956E9)</f>
        <v>1704288956</v>
      </c>
    </row>
    <row r="263">
      <c r="A263" s="1" t="s">
        <v>189</v>
      </c>
      <c r="B263" s="5" t="s">
        <v>1052</v>
      </c>
      <c r="C263" s="7">
        <v>45598.60136574074</v>
      </c>
      <c r="D263" s="1" t="s">
        <v>1053</v>
      </c>
      <c r="F263" s="3">
        <f>IFERROR(__xludf.DUMMYFUNCTION("INT((DATE(INDEX(SPLIT(B263,""/| |:""),3), INDEX(SPLIT(B263,""/| |:""),2), INDEX(SPLIT(B263,""/| |:""),1)) + TIME(INDEX(SPLIT(B263,""/| |:""),4), INDEX(SPLIT(B263,""/| |:""),5), INDEX(SPLIT(B263,""/| |:""),6)) - DATE(1970,1,1)) * 86400)"),1.703773558E9)</f>
        <v>1703773558</v>
      </c>
      <c r="G263" s="3">
        <f>IFERROR(__xludf.DUMMYFUNCTION("INT((DATE(INDEX(SPLIT(C263,""/| |:""),3), INDEX(SPLIT(C263,""/| |:""),2), INDEX(SPLIT(C263,""/| |:""),1)) + TIME(INDEX(SPLIT(C263,""/| |:""),4), INDEX(SPLIT(C263,""/| |:""),5), INDEX(SPLIT(C263,""/| |:""),6)) - DATE(1970,1,1)) * 86400)"),1.707661558E9)</f>
        <v>1707661558</v>
      </c>
    </row>
    <row r="264">
      <c r="A264" s="1" t="s">
        <v>190</v>
      </c>
      <c r="B264" s="5">
        <v>45118.80710648148</v>
      </c>
      <c r="C264" s="1" t="s">
        <v>1054</v>
      </c>
      <c r="D264" s="1" t="s">
        <v>1053</v>
      </c>
      <c r="F264" s="3">
        <f>IFERROR(__xludf.DUMMYFUNCTION("INT((DATE(INDEX(SPLIT(B264,""/| |:""),3), INDEX(SPLIT(B264,""/| |:""),2), INDEX(SPLIT(B264,""/| |:""),1)) + TIME(INDEX(SPLIT(B264,""/| |:""),4), INDEX(SPLIT(B264,""/| |:""),5), INDEX(SPLIT(B264,""/| |:""),6)) - DATE(1970,1,1)) * 86400)"),1.699384934E9)</f>
        <v>1699384934</v>
      </c>
      <c r="G264" s="3">
        <f>IFERROR(__xludf.DUMMYFUNCTION("INT((DATE(INDEX(SPLIT(C264,""/| |:""),3), INDEX(SPLIT(C264,""/| |:""),2), INDEX(SPLIT(C264,""/| |:""),1)) + TIME(INDEX(SPLIT(C264,""/| |:""),4), INDEX(SPLIT(C264,""/| |:""),5), INDEX(SPLIT(C264,""/| |:""),6)) - DATE(1970,1,1)) * 86400)"),1.703272934E9)</f>
        <v>1703272934</v>
      </c>
    </row>
    <row r="265">
      <c r="A265" s="1" t="s">
        <v>191</v>
      </c>
      <c r="B265" s="5" t="s">
        <v>1055</v>
      </c>
      <c r="C265" s="7">
        <v>45627.69925925926</v>
      </c>
      <c r="D265" s="1" t="s">
        <v>1056</v>
      </c>
      <c r="F265" s="3">
        <f>IFERROR(__xludf.DUMMYFUNCTION("INT((DATE(INDEX(SPLIT(B265,""/| |:""),3), INDEX(SPLIT(B265,""/| |:""),2), INDEX(SPLIT(B265,""/| |:""),1)) + TIME(INDEX(SPLIT(B265,""/| |:""),4), INDEX(SPLIT(B265,""/| |:""),5), INDEX(SPLIT(B265,""/| |:""),6)) - DATE(1970,1,1)) * 86400)"),1.701190016E9)</f>
        <v>1701190016</v>
      </c>
      <c r="G265" s="3">
        <f>IFERROR(__xludf.DUMMYFUNCTION("INT((DATE(INDEX(SPLIT(C265,""/| |:""),3), INDEX(SPLIT(C265,""/| |:""),2), INDEX(SPLIT(C265,""/| |:""),1)) + TIME(INDEX(SPLIT(C265,""/| |:""),4), INDEX(SPLIT(C265,""/| |:""),5), INDEX(SPLIT(C265,""/| |:""),6)) - DATE(1970,1,1)) * 86400)"),1.705078016E9)</f>
        <v>1705078016</v>
      </c>
    </row>
    <row r="266">
      <c r="A266" s="1" t="s">
        <v>192</v>
      </c>
      <c r="B266" s="5">
        <v>45413.507997685185</v>
      </c>
      <c r="C266" s="1" t="s">
        <v>1057</v>
      </c>
      <c r="D266" s="1" t="s">
        <v>1058</v>
      </c>
      <c r="F266" s="3">
        <f>IFERROR(__xludf.DUMMYFUNCTION("INT((DATE(INDEX(SPLIT(B266,""/| |:""),3), INDEX(SPLIT(B266,""/| |:""),2), INDEX(SPLIT(B266,""/| |:""),1)) + TIME(INDEX(SPLIT(B266,""/| |:""),4), INDEX(SPLIT(B266,""/| |:""),5), INDEX(SPLIT(B266,""/| |:""),6)) - DATE(1970,1,1)) * 86400)"),1.704456691E9)</f>
        <v>1704456691</v>
      </c>
      <c r="G266" s="3">
        <f>IFERROR(__xludf.DUMMYFUNCTION("INT((DATE(INDEX(SPLIT(C266,""/| |:""),3), INDEX(SPLIT(C266,""/| |:""),2), INDEX(SPLIT(C266,""/| |:""),1)) + TIME(INDEX(SPLIT(C266,""/| |:""),4), INDEX(SPLIT(C266,""/| |:""),5), INDEX(SPLIT(C266,""/| |:""),6)) - DATE(1970,1,1)) * 86400)"),1.708344691E9)</f>
        <v>1708344691</v>
      </c>
    </row>
    <row r="267">
      <c r="A267" s="1" t="s">
        <v>193</v>
      </c>
      <c r="B267" s="5" t="s">
        <v>1059</v>
      </c>
      <c r="C267" s="7">
        <v>45353.67512731482</v>
      </c>
      <c r="D267" s="1" t="s">
        <v>1058</v>
      </c>
      <c r="F267" s="3">
        <f>IFERROR(__xludf.DUMMYFUNCTION("INT((DATE(INDEX(SPLIT(B267,""/| |:""),3), INDEX(SPLIT(B267,""/| |:""),2), INDEX(SPLIT(B267,""/| |:""),1)) + TIME(INDEX(SPLIT(B267,""/| |:""),4), INDEX(SPLIT(B267,""/| |:""),5), INDEX(SPLIT(B267,""/| |:""),6)) - DATE(1970,1,1)) * 86400)"),1.703088731E9)</f>
        <v>1703088731</v>
      </c>
      <c r="G267" s="3">
        <f>IFERROR(__xludf.DUMMYFUNCTION("INT((DATE(INDEX(SPLIT(C267,""/| |:""),3), INDEX(SPLIT(C267,""/| |:""),2), INDEX(SPLIT(C267,""/| |:""),1)) + TIME(INDEX(SPLIT(C267,""/| |:""),4), INDEX(SPLIT(C267,""/| |:""),5), INDEX(SPLIT(C267,""/| |:""),6)) - DATE(1970,1,1)) * 86400)"),1.706976731E9)</f>
        <v>1706976731</v>
      </c>
    </row>
    <row r="268">
      <c r="A268" s="1" t="s">
        <v>194</v>
      </c>
      <c r="B268" s="5" t="s">
        <v>1060</v>
      </c>
      <c r="C268" s="1" t="s">
        <v>1061</v>
      </c>
      <c r="D268" s="1" t="s">
        <v>1062</v>
      </c>
      <c r="F268" s="3">
        <f>IFERROR(__xludf.DUMMYFUNCTION("INT((DATE(INDEX(SPLIT(B268,""/| |:""),3), INDEX(SPLIT(B268,""/| |:""),2), INDEX(SPLIT(B268,""/| |:""),1)) + TIME(INDEX(SPLIT(B268,""/| |:""),4), INDEX(SPLIT(B268,""/| |:""),5), INDEX(SPLIT(B268,""/| |:""),6)) - DATE(1970,1,1)) * 86400)"),1.703915672E9)</f>
        <v>1703915672</v>
      </c>
      <c r="G268" s="3">
        <f>IFERROR(__xludf.DUMMYFUNCTION("INT((DATE(INDEX(SPLIT(C268,""/| |:""),3), INDEX(SPLIT(C268,""/| |:""),2), INDEX(SPLIT(C268,""/| |:""),1)) + TIME(INDEX(SPLIT(C268,""/| |:""),4), INDEX(SPLIT(C268,""/| |:""),5), INDEX(SPLIT(C268,""/| |:""),6)) - DATE(1970,1,1)) * 86400)"),1.707803672E9)</f>
        <v>1707803672</v>
      </c>
    </row>
    <row r="269">
      <c r="A269" s="1" t="s">
        <v>194</v>
      </c>
      <c r="B269" s="5" t="s">
        <v>1063</v>
      </c>
      <c r="C269" s="1" t="s">
        <v>1064</v>
      </c>
      <c r="D269" s="1" t="s">
        <v>1062</v>
      </c>
      <c r="F269" s="3">
        <f>IFERROR(__xludf.DUMMYFUNCTION("INT((DATE(INDEX(SPLIT(B269,""/| |:""),3), INDEX(SPLIT(B269,""/| |:""),2), INDEX(SPLIT(B269,""/| |:""),1)) + TIME(INDEX(SPLIT(B269,""/| |:""),4), INDEX(SPLIT(B269,""/| |:""),5), INDEX(SPLIT(B269,""/| |:""),6)) - DATE(1970,1,1)) * 86400)"),1.700089348E9)</f>
        <v>1700089348</v>
      </c>
      <c r="G269" s="3">
        <f>IFERROR(__xludf.DUMMYFUNCTION("INT((DATE(INDEX(SPLIT(C269,""/| |:""),3), INDEX(SPLIT(C269,""/| |:""),2), INDEX(SPLIT(C269,""/| |:""),1)) + TIME(INDEX(SPLIT(C269,""/| |:""),4), INDEX(SPLIT(C269,""/| |:""),5), INDEX(SPLIT(C269,""/| |:""),6)) - DATE(1970,1,1)) * 86400)"),1.703977348E9)</f>
        <v>1703977348</v>
      </c>
    </row>
    <row r="270">
      <c r="A270" s="1" t="s">
        <v>195</v>
      </c>
      <c r="B270" s="5">
        <v>44968.626539351855</v>
      </c>
      <c r="C270" s="1" t="s">
        <v>1065</v>
      </c>
      <c r="D270" s="1" t="s">
        <v>1062</v>
      </c>
      <c r="F270" s="3">
        <f>IFERROR(__xludf.DUMMYFUNCTION("INT((DATE(INDEX(SPLIT(B270,""/| |:""),3), INDEX(SPLIT(B270,""/| |:""),2), INDEX(SPLIT(B270,""/| |:""),1)) + TIME(INDEX(SPLIT(B270,""/| |:""),4), INDEX(SPLIT(B270,""/| |:""),5), INDEX(SPLIT(B270,""/| |:""),6)) - DATE(1970,1,1)) * 86400)"),1.698937333E9)</f>
        <v>1698937333</v>
      </c>
      <c r="G270" s="3">
        <f>IFERROR(__xludf.DUMMYFUNCTION("INT((DATE(INDEX(SPLIT(C270,""/| |:""),3), INDEX(SPLIT(C270,""/| |:""),2), INDEX(SPLIT(C270,""/| |:""),1)) + TIME(INDEX(SPLIT(C270,""/| |:""),4), INDEX(SPLIT(C270,""/| |:""),5), INDEX(SPLIT(C270,""/| |:""),6)) - DATE(1970,1,1)) * 86400)"),1.702825333E9)</f>
        <v>1702825333</v>
      </c>
    </row>
    <row r="271">
      <c r="A271" s="1" t="s">
        <v>196</v>
      </c>
      <c r="B271" s="5" t="s">
        <v>1066</v>
      </c>
      <c r="C271" s="7">
        <v>45506.5424537037</v>
      </c>
      <c r="D271" s="1" t="s">
        <v>1067</v>
      </c>
      <c r="F271" s="3">
        <f>IFERROR(__xludf.DUMMYFUNCTION("INT((DATE(INDEX(SPLIT(B271,""/| |:""),3), INDEX(SPLIT(B271,""/| |:""),2), INDEX(SPLIT(B271,""/| |:""),1)) + TIME(INDEX(SPLIT(B271,""/| |:""),4), INDEX(SPLIT(B271,""/| |:""),5), INDEX(SPLIT(B271,""/| |:""),6)) - DATE(1970,1,1)) * 86400)"),1.703509268E9)</f>
        <v>1703509268</v>
      </c>
      <c r="G271" s="3">
        <f>IFERROR(__xludf.DUMMYFUNCTION("INT((DATE(INDEX(SPLIT(C271,""/| |:""),3), INDEX(SPLIT(C271,""/| |:""),2), INDEX(SPLIT(C271,""/| |:""),1)) + TIME(INDEX(SPLIT(C271,""/| |:""),4), INDEX(SPLIT(C271,""/| |:""),5), INDEX(SPLIT(C271,""/| |:""),6)) - DATE(1970,1,1)) * 86400)"),1.707397268E9)</f>
        <v>1707397268</v>
      </c>
    </row>
    <row r="272">
      <c r="A272" s="1" t="s">
        <v>197</v>
      </c>
      <c r="B272" s="5" t="s">
        <v>1068</v>
      </c>
      <c r="C272" s="7">
        <v>45293.90740740741</v>
      </c>
      <c r="D272" s="1" t="s">
        <v>1069</v>
      </c>
      <c r="F272" s="3">
        <f>IFERROR(__xludf.DUMMYFUNCTION("INT((DATE(INDEX(SPLIT(B272,""/| |:""),3), INDEX(SPLIT(B272,""/| |:""),2), INDEX(SPLIT(B272,""/| |:""),1)) + TIME(INDEX(SPLIT(B272,""/| |:""),4), INDEX(SPLIT(B272,""/| |:""),5), INDEX(SPLIT(B272,""/| |:""),6)) - DATE(1970,1,1)) * 86400)"),1.702936E9)</f>
        <v>1702936000</v>
      </c>
      <c r="G272" s="3">
        <f>IFERROR(__xludf.DUMMYFUNCTION("INT((DATE(INDEX(SPLIT(C272,""/| |:""),3), INDEX(SPLIT(C272,""/| |:""),2), INDEX(SPLIT(C272,""/| |:""),1)) + TIME(INDEX(SPLIT(C272,""/| |:""),4), INDEX(SPLIT(C272,""/| |:""),5), INDEX(SPLIT(C272,""/| |:""),6)) - DATE(1970,1,1)) * 86400)"),1.706824E9)</f>
        <v>1706824000</v>
      </c>
    </row>
    <row r="273">
      <c r="A273" s="1" t="s">
        <v>198</v>
      </c>
      <c r="B273" s="5" t="s">
        <v>1070</v>
      </c>
      <c r="C273" s="7">
        <v>45383.69295138889</v>
      </c>
      <c r="D273" s="1" t="s">
        <v>1069</v>
      </c>
      <c r="F273" s="3">
        <f>IFERROR(__xludf.DUMMYFUNCTION("INT((DATE(INDEX(SPLIT(B273,""/| |:""),3), INDEX(SPLIT(B273,""/| |:""),2), INDEX(SPLIT(B273,""/| |:""),1)) + TIME(INDEX(SPLIT(B273,""/| |:""),4), INDEX(SPLIT(B273,""/| |:""),5), INDEX(SPLIT(B273,""/| |:""),6)) - DATE(1970,1,1)) * 86400)"),1.700498271E9)</f>
        <v>1700498271</v>
      </c>
      <c r="G273" s="3">
        <f>IFERROR(__xludf.DUMMYFUNCTION("INT((DATE(INDEX(SPLIT(C273,""/| |:""),3), INDEX(SPLIT(C273,""/| |:""),2), INDEX(SPLIT(C273,""/| |:""),1)) + TIME(INDEX(SPLIT(C273,""/| |:""),4), INDEX(SPLIT(C273,""/| |:""),5), INDEX(SPLIT(C273,""/| |:""),6)) - DATE(1970,1,1)) * 86400)"),1.704386271E9)</f>
        <v>1704386271</v>
      </c>
    </row>
    <row r="274">
      <c r="A274" s="1" t="s">
        <v>199</v>
      </c>
      <c r="B274" s="5" t="s">
        <v>1071</v>
      </c>
      <c r="C274" s="1" t="s">
        <v>1072</v>
      </c>
      <c r="D274" s="1" t="s">
        <v>1069</v>
      </c>
      <c r="F274" s="3">
        <f>IFERROR(__xludf.DUMMYFUNCTION("INT((DATE(INDEX(SPLIT(B274,""/| |:""),3), INDEX(SPLIT(B274,""/| |:""),2), INDEX(SPLIT(B274,""/| |:""),1)) + TIME(INDEX(SPLIT(B274,""/| |:""),4), INDEX(SPLIT(B274,""/| |:""),5), INDEX(SPLIT(B274,""/| |:""),6)) - DATE(1970,1,1)) * 86400)"),1.70012315E9)</f>
        <v>1700123150</v>
      </c>
      <c r="G274" s="3">
        <f>IFERROR(__xludf.DUMMYFUNCTION("INT((DATE(INDEX(SPLIT(C274,""/| |:""),3), INDEX(SPLIT(C274,""/| |:""),2), INDEX(SPLIT(C274,""/| |:""),1)) + TIME(INDEX(SPLIT(C274,""/| |:""),4), INDEX(SPLIT(C274,""/| |:""),5), INDEX(SPLIT(C274,""/| |:""),6)) - DATE(1970,1,1)) * 86400)"),1.70401115E9)</f>
        <v>1704011150</v>
      </c>
    </row>
    <row r="275">
      <c r="A275" s="1" t="s">
        <v>200</v>
      </c>
      <c r="B275" s="5">
        <v>45149.74820601852</v>
      </c>
      <c r="C275" s="1" t="s">
        <v>1073</v>
      </c>
      <c r="D275" s="1" t="s">
        <v>1069</v>
      </c>
      <c r="F275" s="3">
        <f>IFERROR(__xludf.DUMMYFUNCTION("INT((DATE(INDEX(SPLIT(B275,""/| |:""),3), INDEX(SPLIT(B275,""/| |:""),2), INDEX(SPLIT(B275,""/| |:""),1)) + TIME(INDEX(SPLIT(B275,""/| |:""),4), INDEX(SPLIT(B275,""/| |:""),5), INDEX(SPLIT(B275,""/| |:""),6)) - DATE(1970,1,1)) * 86400)"),1.699466245E9)</f>
        <v>1699466245</v>
      </c>
      <c r="G275" s="3">
        <f>IFERROR(__xludf.DUMMYFUNCTION("INT((DATE(INDEX(SPLIT(C275,""/| |:""),3), INDEX(SPLIT(C275,""/| |:""),2), INDEX(SPLIT(C275,""/| |:""),1)) + TIME(INDEX(SPLIT(C275,""/| |:""),4), INDEX(SPLIT(C275,""/| |:""),5), INDEX(SPLIT(C275,""/| |:""),6)) - DATE(1970,1,1)) * 86400)"),1.703354245E9)</f>
        <v>1703354245</v>
      </c>
    </row>
    <row r="276">
      <c r="A276" s="1" t="s">
        <v>201</v>
      </c>
      <c r="B276" s="5">
        <v>44996.42354166666</v>
      </c>
      <c r="C276" s="1" t="s">
        <v>1074</v>
      </c>
      <c r="D276" s="1" t="s">
        <v>1069</v>
      </c>
      <c r="F276" s="3">
        <f>IFERROR(__xludf.DUMMYFUNCTION("INT((DATE(INDEX(SPLIT(B276,""/| |:""),3), INDEX(SPLIT(B276,""/| |:""),2), INDEX(SPLIT(B276,""/| |:""),1)) + TIME(INDEX(SPLIT(B276,""/| |:""),4), INDEX(SPLIT(B276,""/| |:""),5), INDEX(SPLIT(B276,""/| |:""),6)) - DATE(1970,1,1)) * 86400)"),1.699006194E9)</f>
        <v>1699006194</v>
      </c>
      <c r="G276" s="3">
        <f>IFERROR(__xludf.DUMMYFUNCTION("INT((DATE(INDEX(SPLIT(C276,""/| |:""),3), INDEX(SPLIT(C276,""/| |:""),2), INDEX(SPLIT(C276,""/| |:""),1)) + TIME(INDEX(SPLIT(C276,""/| |:""),4), INDEX(SPLIT(C276,""/| |:""),5), INDEX(SPLIT(C276,""/| |:""),6)) - DATE(1970,1,1)) * 86400)"),1.702894194E9)</f>
        <v>1702894194</v>
      </c>
    </row>
    <row r="277">
      <c r="A277" s="1" t="s">
        <v>202</v>
      </c>
      <c r="B277" s="5">
        <v>45413.57774305555</v>
      </c>
      <c r="C277" s="1" t="s">
        <v>1075</v>
      </c>
      <c r="D277" s="1" t="s">
        <v>1076</v>
      </c>
      <c r="F277" s="3">
        <f>IFERROR(__xludf.DUMMYFUNCTION("INT((DATE(INDEX(SPLIT(B277,""/| |:""),3), INDEX(SPLIT(B277,""/| |:""),2), INDEX(SPLIT(B277,""/| |:""),1)) + TIME(INDEX(SPLIT(B277,""/| |:""),4), INDEX(SPLIT(B277,""/| |:""),5), INDEX(SPLIT(B277,""/| |:""),6)) - DATE(1970,1,1)) * 86400)"),1.704462717E9)</f>
        <v>1704462717</v>
      </c>
      <c r="G277" s="3">
        <f>IFERROR(__xludf.DUMMYFUNCTION("INT((DATE(INDEX(SPLIT(C277,""/| |:""),3), INDEX(SPLIT(C277,""/| |:""),2), INDEX(SPLIT(C277,""/| |:""),1)) + TIME(INDEX(SPLIT(C277,""/| |:""),4), INDEX(SPLIT(C277,""/| |:""),5), INDEX(SPLIT(C277,""/| |:""),6)) - DATE(1970,1,1)) * 86400)"),1.708350717E9)</f>
        <v>1708350717</v>
      </c>
    </row>
    <row r="278">
      <c r="A278" s="1" t="s">
        <v>203</v>
      </c>
      <c r="B278" s="5" t="s">
        <v>1077</v>
      </c>
      <c r="C278" s="7">
        <v>45628.44293981481</v>
      </c>
      <c r="D278" s="1" t="s">
        <v>1076</v>
      </c>
      <c r="F278" s="3">
        <f>IFERROR(__xludf.DUMMYFUNCTION("INT((DATE(INDEX(SPLIT(B278,""/| |:""),3), INDEX(SPLIT(B278,""/| |:""),2), INDEX(SPLIT(B278,""/| |:""),1)) + TIME(INDEX(SPLIT(B278,""/| |:""),4), INDEX(SPLIT(B278,""/| |:""),5), INDEX(SPLIT(B278,""/| |:""),6)) - DATE(1970,1,1)) * 86400)"),1.70384627E9)</f>
        <v>1703846270</v>
      </c>
      <c r="G278" s="3">
        <f>IFERROR(__xludf.DUMMYFUNCTION("INT((DATE(INDEX(SPLIT(C278,""/| |:""),3), INDEX(SPLIT(C278,""/| |:""),2), INDEX(SPLIT(C278,""/| |:""),1)) + TIME(INDEX(SPLIT(C278,""/| |:""),4), INDEX(SPLIT(C278,""/| |:""),5), INDEX(SPLIT(C278,""/| |:""),6)) - DATE(1970,1,1)) * 86400)"),1.70773427E9)</f>
        <v>1707734270</v>
      </c>
    </row>
    <row r="279">
      <c r="A279" s="1" t="s">
        <v>204</v>
      </c>
      <c r="B279" s="5" t="s">
        <v>1078</v>
      </c>
      <c r="C279" s="7">
        <v>45506.45395833333</v>
      </c>
      <c r="D279" s="1" t="s">
        <v>1076</v>
      </c>
      <c r="F279" s="3">
        <f>IFERROR(__xludf.DUMMYFUNCTION("INT((DATE(INDEX(SPLIT(B279,""/| |:""),3), INDEX(SPLIT(B279,""/| |:""),2), INDEX(SPLIT(B279,""/| |:""),1)) + TIME(INDEX(SPLIT(B279,""/| |:""),4), INDEX(SPLIT(B279,""/| |:""),5), INDEX(SPLIT(B279,""/| |:""),6)) - DATE(1970,1,1)) * 86400)"),1.703501622E9)</f>
        <v>1703501622</v>
      </c>
      <c r="G279" s="3">
        <f>IFERROR(__xludf.DUMMYFUNCTION("INT((DATE(INDEX(SPLIT(C279,""/| |:""),3), INDEX(SPLIT(C279,""/| |:""),2), INDEX(SPLIT(C279,""/| |:""),1)) + TIME(INDEX(SPLIT(C279,""/| |:""),4), INDEX(SPLIT(C279,""/| |:""),5), INDEX(SPLIT(C279,""/| |:""),6)) - DATE(1970,1,1)) * 86400)"),1.707389622E9)</f>
        <v>1707389622</v>
      </c>
    </row>
    <row r="280">
      <c r="A280" s="1" t="s">
        <v>205</v>
      </c>
      <c r="B280" s="5" t="s">
        <v>1079</v>
      </c>
      <c r="C280" s="1" t="s">
        <v>1080</v>
      </c>
      <c r="D280" s="1" t="s">
        <v>1076</v>
      </c>
      <c r="F280" s="3">
        <f>IFERROR(__xludf.DUMMYFUNCTION("INT((DATE(INDEX(SPLIT(B280,""/| |:""),3), INDEX(SPLIT(B280,""/| |:""),2), INDEX(SPLIT(B280,""/| |:""),1)) + TIME(INDEX(SPLIT(B280,""/| |:""),4), INDEX(SPLIT(B280,""/| |:""),5), INDEX(SPLIT(B280,""/| |:""),6)) - DATE(1970,1,1)) * 86400)"),1.702725087E9)</f>
        <v>1702725087</v>
      </c>
      <c r="G280" s="3">
        <f>IFERROR(__xludf.DUMMYFUNCTION("INT((DATE(INDEX(SPLIT(C280,""/| |:""),3), INDEX(SPLIT(C280,""/| |:""),2), INDEX(SPLIT(C280,""/| |:""),1)) + TIME(INDEX(SPLIT(C280,""/| |:""),4), INDEX(SPLIT(C280,""/| |:""),5), INDEX(SPLIT(C280,""/| |:""),6)) - DATE(1970,1,1)) * 86400)"),1.706613087E9)</f>
        <v>1706613087</v>
      </c>
    </row>
    <row r="281">
      <c r="A281" s="1" t="s">
        <v>206</v>
      </c>
      <c r="B281" s="5">
        <v>45028.38465277778</v>
      </c>
      <c r="C281" s="1" t="s">
        <v>1081</v>
      </c>
      <c r="D281" s="1" t="s">
        <v>1076</v>
      </c>
      <c r="F281" s="3">
        <f>IFERROR(__xludf.DUMMYFUNCTION("INT((DATE(INDEX(SPLIT(B281,""/| |:""),3), INDEX(SPLIT(B281,""/| |:""),2), INDEX(SPLIT(B281,""/| |:""),1)) + TIME(INDEX(SPLIT(B281,""/| |:""),4), INDEX(SPLIT(B281,""/| |:""),5), INDEX(SPLIT(B281,""/| |:""),6)) - DATE(1970,1,1)) * 86400)"),1.701681234E9)</f>
        <v>1701681234</v>
      </c>
      <c r="G281" s="3">
        <f>IFERROR(__xludf.DUMMYFUNCTION("INT((DATE(INDEX(SPLIT(C281,""/| |:""),3), INDEX(SPLIT(C281,""/| |:""),2), INDEX(SPLIT(C281,""/| |:""),1)) + TIME(INDEX(SPLIT(C281,""/| |:""),4), INDEX(SPLIT(C281,""/| |:""),5), INDEX(SPLIT(C281,""/| |:""),6)) - DATE(1970,1,1)) * 86400)"),1.705569234E9)</f>
        <v>1705569234</v>
      </c>
    </row>
    <row r="282">
      <c r="A282" s="1" t="s">
        <v>207</v>
      </c>
      <c r="B282" s="5">
        <v>44997.54751157408</v>
      </c>
      <c r="C282" s="1" t="s">
        <v>1082</v>
      </c>
      <c r="D282" s="1" t="s">
        <v>1076</v>
      </c>
      <c r="F282" s="3">
        <f>IFERROR(__xludf.DUMMYFUNCTION("INT((DATE(INDEX(SPLIT(B282,""/| |:""),3), INDEX(SPLIT(B282,""/| |:""),2), INDEX(SPLIT(B282,""/| |:""),1)) + TIME(INDEX(SPLIT(B282,""/| |:""),4), INDEX(SPLIT(B282,""/| |:""),5), INDEX(SPLIT(B282,""/| |:""),6)) - DATE(1970,1,1)) * 86400)"),1.701608905E9)</f>
        <v>1701608905</v>
      </c>
      <c r="G282" s="3">
        <f>IFERROR(__xludf.DUMMYFUNCTION("INT((DATE(INDEX(SPLIT(C282,""/| |:""),3), INDEX(SPLIT(C282,""/| |:""),2), INDEX(SPLIT(C282,""/| |:""),1)) + TIME(INDEX(SPLIT(C282,""/| |:""),4), INDEX(SPLIT(C282,""/| |:""),5), INDEX(SPLIT(C282,""/| |:""),6)) - DATE(1970,1,1)) * 86400)"),1.705496905E9)</f>
        <v>1705496905</v>
      </c>
    </row>
    <row r="283">
      <c r="A283" s="1" t="s">
        <v>198</v>
      </c>
      <c r="B283" s="5" t="s">
        <v>1083</v>
      </c>
      <c r="C283" s="7">
        <v>45383.69399305555</v>
      </c>
      <c r="D283" s="1" t="s">
        <v>1076</v>
      </c>
      <c r="F283" s="3">
        <f>IFERROR(__xludf.DUMMYFUNCTION("INT((DATE(INDEX(SPLIT(B283,""/| |:""),3), INDEX(SPLIT(B283,""/| |:""),2), INDEX(SPLIT(B283,""/| |:""),1)) + TIME(INDEX(SPLIT(B283,""/| |:""),4), INDEX(SPLIT(B283,""/| |:""),5), INDEX(SPLIT(B283,""/| |:""),6)) - DATE(1970,1,1)) * 86400)"),1.700498361E9)</f>
        <v>1700498361</v>
      </c>
      <c r="G283" s="3">
        <f>IFERROR(__xludf.DUMMYFUNCTION("INT((DATE(INDEX(SPLIT(C283,""/| |:""),3), INDEX(SPLIT(C283,""/| |:""),2), INDEX(SPLIT(C283,""/| |:""),1)) + TIME(INDEX(SPLIT(C283,""/| |:""),4), INDEX(SPLIT(C283,""/| |:""),5), INDEX(SPLIT(C283,""/| |:""),6)) - DATE(1970,1,1)) * 86400)"),1.704386361E9)</f>
        <v>1704386361</v>
      </c>
    </row>
    <row r="284">
      <c r="A284" s="1" t="s">
        <v>208</v>
      </c>
      <c r="B284" s="5">
        <v>45118.399143518516</v>
      </c>
      <c r="C284" s="1" t="s">
        <v>1084</v>
      </c>
      <c r="D284" s="1" t="s">
        <v>1076</v>
      </c>
      <c r="F284" s="3">
        <f>IFERROR(__xludf.DUMMYFUNCTION("INT((DATE(INDEX(SPLIT(B284,""/| |:""),3), INDEX(SPLIT(B284,""/| |:""),2), INDEX(SPLIT(B284,""/| |:""),1)) + TIME(INDEX(SPLIT(B284,""/| |:""),4), INDEX(SPLIT(B284,""/| |:""),5), INDEX(SPLIT(B284,""/| |:""),6)) - DATE(1970,1,1)) * 86400)"),1.699349686E9)</f>
        <v>1699349686</v>
      </c>
      <c r="G284" s="3">
        <f>IFERROR(__xludf.DUMMYFUNCTION("INT((DATE(INDEX(SPLIT(C284,""/| |:""),3), INDEX(SPLIT(C284,""/| |:""),2), INDEX(SPLIT(C284,""/| |:""),1)) + TIME(INDEX(SPLIT(C284,""/| |:""),4), INDEX(SPLIT(C284,""/| |:""),5), INDEX(SPLIT(C284,""/| |:""),6)) - DATE(1970,1,1)) * 86400)"),1.703237686E9)</f>
        <v>1703237686</v>
      </c>
    </row>
    <row r="285">
      <c r="A285" s="1" t="s">
        <v>209</v>
      </c>
      <c r="B285" s="5" t="s">
        <v>1085</v>
      </c>
      <c r="C285" s="7">
        <v>45537.52506944445</v>
      </c>
      <c r="D285" s="1" t="s">
        <v>1086</v>
      </c>
      <c r="F285" s="3">
        <f>IFERROR(__xludf.DUMMYFUNCTION("INT((DATE(INDEX(SPLIT(B285,""/| |:""),3), INDEX(SPLIT(B285,""/| |:""),2), INDEX(SPLIT(B285,""/| |:""),1)) + TIME(INDEX(SPLIT(B285,""/| |:""),4), INDEX(SPLIT(B285,""/| |:""),5), INDEX(SPLIT(B285,""/| |:""),6)) - DATE(1970,1,1)) * 86400)"),1.703594166E9)</f>
        <v>1703594166</v>
      </c>
      <c r="G285" s="3">
        <f>IFERROR(__xludf.DUMMYFUNCTION("INT((DATE(INDEX(SPLIT(C285,""/| |:""),3), INDEX(SPLIT(C285,""/| |:""),2), INDEX(SPLIT(C285,""/| |:""),1)) + TIME(INDEX(SPLIT(C285,""/| |:""),4), INDEX(SPLIT(C285,""/| |:""),5), INDEX(SPLIT(C285,""/| |:""),6)) - DATE(1970,1,1)) * 86400)"),1.707482166E9)</f>
        <v>1707482166</v>
      </c>
    </row>
    <row r="286">
      <c r="A286" s="1" t="s">
        <v>210</v>
      </c>
      <c r="B286" s="5">
        <v>44968.55991898148</v>
      </c>
      <c r="C286" s="1" t="s">
        <v>1087</v>
      </c>
      <c r="D286" s="1" t="s">
        <v>1088</v>
      </c>
      <c r="F286" s="3">
        <f>IFERROR(__xludf.DUMMYFUNCTION("INT((DATE(INDEX(SPLIT(B286,""/| |:""),3), INDEX(SPLIT(B286,""/| |:""),2), INDEX(SPLIT(B286,""/| |:""),1)) + TIME(INDEX(SPLIT(B286,""/| |:""),4), INDEX(SPLIT(B286,""/| |:""),5), INDEX(SPLIT(B286,""/| |:""),6)) - DATE(1970,1,1)) * 86400)"),1.698931577E9)</f>
        <v>1698931577</v>
      </c>
      <c r="G286" s="3">
        <f>IFERROR(__xludf.DUMMYFUNCTION("INT((DATE(INDEX(SPLIT(C286,""/| |:""),3), INDEX(SPLIT(C286,""/| |:""),2), INDEX(SPLIT(C286,""/| |:""),1)) + TIME(INDEX(SPLIT(C286,""/| |:""),4), INDEX(SPLIT(C286,""/| |:""),5), INDEX(SPLIT(C286,""/| |:""),6)) - DATE(1970,1,1)) * 86400)"),1.702819577E9)</f>
        <v>1702819577</v>
      </c>
    </row>
    <row r="287">
      <c r="A287" s="1" t="s">
        <v>211</v>
      </c>
      <c r="B287" s="5" t="s">
        <v>1089</v>
      </c>
      <c r="C287" s="1" t="s">
        <v>1090</v>
      </c>
      <c r="D287" s="1" t="s">
        <v>1091</v>
      </c>
      <c r="F287" s="3">
        <f>IFERROR(__xludf.DUMMYFUNCTION("INT((DATE(INDEX(SPLIT(B287,""/| |:""),3), INDEX(SPLIT(B287,""/| |:""),2), INDEX(SPLIT(B287,""/| |:""),1)) + TIME(INDEX(SPLIT(B287,""/| |:""),4), INDEX(SPLIT(B287,""/| |:""),5), INDEX(SPLIT(B287,""/| |:""),6)) - DATE(1970,1,1)) * 86400)"),1.700078475E9)</f>
        <v>1700078475</v>
      </c>
      <c r="G287" s="3">
        <f>IFERROR(__xludf.DUMMYFUNCTION("INT((DATE(INDEX(SPLIT(C287,""/| |:""),3), INDEX(SPLIT(C287,""/| |:""),2), INDEX(SPLIT(C287,""/| |:""),1)) + TIME(INDEX(SPLIT(C287,""/| |:""),4), INDEX(SPLIT(C287,""/| |:""),5), INDEX(SPLIT(C287,""/| |:""),6)) - DATE(1970,1,1)) * 86400)"),1.703966475E9)</f>
        <v>1703966475</v>
      </c>
    </row>
    <row r="288">
      <c r="A288" s="1" t="s">
        <v>212</v>
      </c>
      <c r="B288" s="5" t="s">
        <v>1092</v>
      </c>
      <c r="C288" s="7">
        <v>45537.49690972222</v>
      </c>
      <c r="D288" s="1" t="s">
        <v>1093</v>
      </c>
      <c r="F288" s="3">
        <f>IFERROR(__xludf.DUMMYFUNCTION("INT((DATE(INDEX(SPLIT(B288,""/| |:""),3), INDEX(SPLIT(B288,""/| |:""),2), INDEX(SPLIT(B288,""/| |:""),1)) + TIME(INDEX(SPLIT(B288,""/| |:""),4), INDEX(SPLIT(B288,""/| |:""),5), INDEX(SPLIT(B288,""/| |:""),6)) - DATE(1970,1,1)) * 86400)"),1.703591733E9)</f>
        <v>1703591733</v>
      </c>
      <c r="G288" s="3">
        <f>IFERROR(__xludf.DUMMYFUNCTION("INT((DATE(INDEX(SPLIT(C288,""/| |:""),3), INDEX(SPLIT(C288,""/| |:""),2), INDEX(SPLIT(C288,""/| |:""),1)) + TIME(INDEX(SPLIT(C288,""/| |:""),4), INDEX(SPLIT(C288,""/| |:""),5), INDEX(SPLIT(C288,""/| |:""),6)) - DATE(1970,1,1)) * 86400)"),1.707479733E9)</f>
        <v>1707479733</v>
      </c>
    </row>
    <row r="289">
      <c r="A289" s="1" t="s">
        <v>213</v>
      </c>
      <c r="B289" s="5" t="s">
        <v>1094</v>
      </c>
      <c r="C289" s="7">
        <v>45537.487222222226</v>
      </c>
      <c r="D289" s="1" t="s">
        <v>1093</v>
      </c>
      <c r="F289" s="3">
        <f>IFERROR(__xludf.DUMMYFUNCTION("INT((DATE(INDEX(SPLIT(B289,""/| |:""),3), INDEX(SPLIT(B289,""/| |:""),2), INDEX(SPLIT(B289,""/| |:""),1)) + TIME(INDEX(SPLIT(B289,""/| |:""),4), INDEX(SPLIT(B289,""/| |:""),5), INDEX(SPLIT(B289,""/| |:""),6)) - DATE(1970,1,1)) * 86400)"),1.703590896E9)</f>
        <v>1703590896</v>
      </c>
      <c r="G289" s="3">
        <f>IFERROR(__xludf.DUMMYFUNCTION("INT((DATE(INDEX(SPLIT(C289,""/| |:""),3), INDEX(SPLIT(C289,""/| |:""),2), INDEX(SPLIT(C289,""/| |:""),1)) + TIME(INDEX(SPLIT(C289,""/| |:""),4), INDEX(SPLIT(C289,""/| |:""),5), INDEX(SPLIT(C289,""/| |:""),6)) - DATE(1970,1,1)) * 86400)"),1.707478896E9)</f>
        <v>1707478896</v>
      </c>
    </row>
    <row r="290">
      <c r="A290" s="1" t="s">
        <v>189</v>
      </c>
      <c r="B290" s="5">
        <v>44968.66025462963</v>
      </c>
      <c r="C290" s="1" t="s">
        <v>1095</v>
      </c>
      <c r="D290" s="1" t="s">
        <v>1093</v>
      </c>
      <c r="F290" s="3">
        <f>IFERROR(__xludf.DUMMYFUNCTION("INT((DATE(INDEX(SPLIT(B290,""/| |:""),3), INDEX(SPLIT(B290,""/| |:""),2), INDEX(SPLIT(B290,""/| |:""),1)) + TIME(INDEX(SPLIT(B290,""/| |:""),4), INDEX(SPLIT(B290,""/| |:""),5), INDEX(SPLIT(B290,""/| |:""),6)) - DATE(1970,1,1)) * 86400)"),1.698940246E9)</f>
        <v>1698940246</v>
      </c>
      <c r="G290" s="3">
        <f>IFERROR(__xludf.DUMMYFUNCTION("INT((DATE(INDEX(SPLIT(C290,""/| |:""),3), INDEX(SPLIT(C290,""/| |:""),2), INDEX(SPLIT(C290,""/| |:""),1)) + TIME(INDEX(SPLIT(C290,""/| |:""),4), INDEX(SPLIT(C290,""/| |:""),5), INDEX(SPLIT(C290,""/| |:""),6)) - DATE(1970,1,1)) * 86400)"),1.702828246E9)</f>
        <v>1702828246</v>
      </c>
    </row>
    <row r="291">
      <c r="A291" s="1" t="s">
        <v>173</v>
      </c>
      <c r="B291" s="5">
        <v>45600.80736111111</v>
      </c>
      <c r="C291" s="1" t="s">
        <v>1096</v>
      </c>
      <c r="D291" s="1" t="s">
        <v>1097</v>
      </c>
      <c r="F291" s="3">
        <f>IFERROR(__xludf.DUMMYFUNCTION("INT((DATE(INDEX(SPLIT(B291,""/| |:""),3), INDEX(SPLIT(B291,""/| |:""),2), INDEX(SPLIT(B291,""/| |:""),1)) + TIME(INDEX(SPLIT(B291,""/| |:""),4), INDEX(SPLIT(B291,""/| |:""),5), INDEX(SPLIT(B291,""/| |:""),6)) - DATE(1970,1,1)) * 86400)"),1.712863356E9)</f>
        <v>1712863356</v>
      </c>
      <c r="G291" s="3">
        <f>IFERROR(__xludf.DUMMYFUNCTION("INT((DATE(INDEX(SPLIT(C291,""/| |:""),3), INDEX(SPLIT(C291,""/| |:""),2), INDEX(SPLIT(C291,""/| |:""),1)) + TIME(INDEX(SPLIT(C291,""/| |:""),4), INDEX(SPLIT(C291,""/| |:""),5), INDEX(SPLIT(C291,""/| |:""),6)) - DATE(1970,1,1)) * 86400)"),1.716751356E9)</f>
        <v>1716751356</v>
      </c>
    </row>
    <row r="292">
      <c r="A292" s="1" t="s">
        <v>174</v>
      </c>
      <c r="B292" s="5">
        <v>45600.606944444444</v>
      </c>
      <c r="C292" s="1" t="s">
        <v>1098</v>
      </c>
      <c r="D292" s="1" t="s">
        <v>1097</v>
      </c>
      <c r="F292" s="3">
        <f>IFERROR(__xludf.DUMMYFUNCTION("INT((DATE(INDEX(SPLIT(B292,""/| |:""),3), INDEX(SPLIT(B292,""/| |:""),2), INDEX(SPLIT(B292,""/| |:""),1)) + TIME(INDEX(SPLIT(B292,""/| |:""),4), INDEX(SPLIT(B292,""/| |:""),5), INDEX(SPLIT(B292,""/| |:""),6)) - DATE(1970,1,1)) * 86400)"),1.71284604E9)</f>
        <v>1712846040</v>
      </c>
      <c r="G292" s="3">
        <f>IFERROR(__xludf.DUMMYFUNCTION("INT((DATE(INDEX(SPLIT(C292,""/| |:""),3), INDEX(SPLIT(C292,""/| |:""),2), INDEX(SPLIT(C292,""/| |:""),1)) + TIME(INDEX(SPLIT(C292,""/| |:""),4), INDEX(SPLIT(C292,""/| |:""),5), INDEX(SPLIT(C292,""/| |:""),6)) - DATE(1970,1,1)) * 86400)"),1.71673404E9)</f>
        <v>1716734040</v>
      </c>
    </row>
    <row r="293">
      <c r="A293" s="1" t="s">
        <v>175</v>
      </c>
      <c r="B293" s="5">
        <v>45600.405625</v>
      </c>
      <c r="C293" s="1" t="s">
        <v>1099</v>
      </c>
      <c r="D293" s="1" t="s">
        <v>1097</v>
      </c>
      <c r="F293" s="3">
        <f>IFERROR(__xludf.DUMMYFUNCTION("INT((DATE(INDEX(SPLIT(B293,""/| |:""),3), INDEX(SPLIT(B293,""/| |:""),2), INDEX(SPLIT(B293,""/| |:""),1)) + TIME(INDEX(SPLIT(B293,""/| |:""),4), INDEX(SPLIT(B293,""/| |:""),5), INDEX(SPLIT(B293,""/| |:""),6)) - DATE(1970,1,1)) * 86400)"),1.712828646E9)</f>
        <v>1712828646</v>
      </c>
      <c r="G293" s="3">
        <f>IFERROR(__xludf.DUMMYFUNCTION("INT((DATE(INDEX(SPLIT(C293,""/| |:""),3), INDEX(SPLIT(C293,""/| |:""),2), INDEX(SPLIT(C293,""/| |:""),1)) + TIME(INDEX(SPLIT(C293,""/| |:""),4), INDEX(SPLIT(C293,""/| |:""),5), INDEX(SPLIT(C293,""/| |:""),6)) - DATE(1970,1,1)) * 86400)"),1.716716646E9)</f>
        <v>1716716646</v>
      </c>
    </row>
    <row r="294">
      <c r="A294" s="1" t="s">
        <v>176</v>
      </c>
      <c r="B294" s="5">
        <v>45569.99935185185</v>
      </c>
      <c r="C294" s="1" t="s">
        <v>1100</v>
      </c>
      <c r="D294" s="1" t="s">
        <v>1097</v>
      </c>
      <c r="F294" s="3">
        <f>IFERROR(__xludf.DUMMYFUNCTION("INT((DATE(INDEX(SPLIT(B294,""/| |:""),3), INDEX(SPLIT(B294,""/| |:""),2), INDEX(SPLIT(B294,""/| |:""),1)) + TIME(INDEX(SPLIT(B294,""/| |:""),4), INDEX(SPLIT(B294,""/| |:""),5), INDEX(SPLIT(B294,""/| |:""),6)) - DATE(1970,1,1)) * 86400)"),1.712793544E9)</f>
        <v>1712793544</v>
      </c>
      <c r="G294" s="3">
        <f>IFERROR(__xludf.DUMMYFUNCTION("INT((DATE(INDEX(SPLIT(C294,""/| |:""),3), INDEX(SPLIT(C294,""/| |:""),2), INDEX(SPLIT(C294,""/| |:""),1)) + TIME(INDEX(SPLIT(C294,""/| |:""),4), INDEX(SPLIT(C294,""/| |:""),5), INDEX(SPLIT(C294,""/| |:""),6)) - DATE(1970,1,1)) * 86400)"),1.716681544E9)</f>
        <v>1716681544</v>
      </c>
    </row>
    <row r="295">
      <c r="A295" s="1" t="s">
        <v>177</v>
      </c>
      <c r="B295" s="5">
        <v>45569.87211805556</v>
      </c>
      <c r="C295" s="1" t="s">
        <v>1101</v>
      </c>
      <c r="D295" s="1" t="s">
        <v>1097</v>
      </c>
      <c r="F295" s="3">
        <f>IFERROR(__xludf.DUMMYFUNCTION("INT((DATE(INDEX(SPLIT(B295,""/| |:""),3), INDEX(SPLIT(B295,""/| |:""),2), INDEX(SPLIT(B295,""/| |:""),1)) + TIME(INDEX(SPLIT(B295,""/| |:""),4), INDEX(SPLIT(B295,""/| |:""),5), INDEX(SPLIT(B295,""/| |:""),6)) - DATE(1970,1,1)) * 86400)"),1.712782551E9)</f>
        <v>1712782551</v>
      </c>
      <c r="G295" s="3">
        <f>IFERROR(__xludf.DUMMYFUNCTION("INT((DATE(INDEX(SPLIT(C295,""/| |:""),3), INDEX(SPLIT(C295,""/| |:""),2), INDEX(SPLIT(C295,""/| |:""),1)) + TIME(INDEX(SPLIT(C295,""/| |:""),4), INDEX(SPLIT(C295,""/| |:""),5), INDEX(SPLIT(C295,""/| |:""),6)) - DATE(1970,1,1)) * 86400)"),1.716670551E9)</f>
        <v>1716670551</v>
      </c>
    </row>
    <row r="296">
      <c r="A296" s="1" t="s">
        <v>178</v>
      </c>
      <c r="B296" s="5">
        <v>45569.850902777776</v>
      </c>
      <c r="C296" s="1" t="s">
        <v>1102</v>
      </c>
      <c r="D296" s="1" t="s">
        <v>1097</v>
      </c>
      <c r="F296" s="3">
        <f>IFERROR(__xludf.DUMMYFUNCTION("INT((DATE(INDEX(SPLIT(B296,""/| |:""),3), INDEX(SPLIT(B296,""/| |:""),2), INDEX(SPLIT(B296,""/| |:""),1)) + TIME(INDEX(SPLIT(B296,""/| |:""),4), INDEX(SPLIT(B296,""/| |:""),5), INDEX(SPLIT(B296,""/| |:""),6)) - DATE(1970,1,1)) * 86400)"),1.712780718E9)</f>
        <v>1712780718</v>
      </c>
      <c r="G296" s="3">
        <f>IFERROR(__xludf.DUMMYFUNCTION("INT((DATE(INDEX(SPLIT(C296,""/| |:""),3), INDEX(SPLIT(C296,""/| |:""),2), INDEX(SPLIT(C296,""/| |:""),1)) + TIME(INDEX(SPLIT(C296,""/| |:""),4), INDEX(SPLIT(C296,""/| |:""),5), INDEX(SPLIT(C296,""/| |:""),6)) - DATE(1970,1,1)) * 86400)"),1.716668718E9)</f>
        <v>1716668718</v>
      </c>
    </row>
    <row r="297">
      <c r="A297" s="1" t="s">
        <v>176</v>
      </c>
      <c r="B297" s="5">
        <v>45569.80373842592</v>
      </c>
      <c r="C297" s="1" t="s">
        <v>1103</v>
      </c>
      <c r="D297" s="1" t="s">
        <v>1097</v>
      </c>
      <c r="F297" s="3">
        <f>IFERROR(__xludf.DUMMYFUNCTION("INT((DATE(INDEX(SPLIT(B297,""/| |:""),3), INDEX(SPLIT(B297,""/| |:""),2), INDEX(SPLIT(B297,""/| |:""),1)) + TIME(INDEX(SPLIT(B297,""/| |:""),4), INDEX(SPLIT(B297,""/| |:""),5), INDEX(SPLIT(B297,""/| |:""),6)) - DATE(1970,1,1)) * 86400)"),1.712776643E9)</f>
        <v>1712776643</v>
      </c>
      <c r="G297" s="3">
        <f>IFERROR(__xludf.DUMMYFUNCTION("INT((DATE(INDEX(SPLIT(C297,""/| |:""),3), INDEX(SPLIT(C297,""/| |:""),2), INDEX(SPLIT(C297,""/| |:""),1)) + TIME(INDEX(SPLIT(C297,""/| |:""),4), INDEX(SPLIT(C297,""/| |:""),5), INDEX(SPLIT(C297,""/| |:""),6)) - DATE(1970,1,1)) * 86400)"),1.716664643E9)</f>
        <v>1716664643</v>
      </c>
    </row>
    <row r="298">
      <c r="A298" s="1" t="s">
        <v>179</v>
      </c>
      <c r="B298" s="5">
        <v>45569.74318287037</v>
      </c>
      <c r="C298" s="1" t="s">
        <v>1104</v>
      </c>
      <c r="D298" s="1" t="s">
        <v>1097</v>
      </c>
      <c r="F298" s="3">
        <f>IFERROR(__xludf.DUMMYFUNCTION("INT((DATE(INDEX(SPLIT(B298,""/| |:""),3), INDEX(SPLIT(B298,""/| |:""),2), INDEX(SPLIT(B298,""/| |:""),1)) + TIME(INDEX(SPLIT(B298,""/| |:""),4), INDEX(SPLIT(B298,""/| |:""),5), INDEX(SPLIT(B298,""/| |:""),6)) - DATE(1970,1,1)) * 86400)"),1.712771411E9)</f>
        <v>1712771411</v>
      </c>
      <c r="G298" s="3">
        <f>IFERROR(__xludf.DUMMYFUNCTION("INT((DATE(INDEX(SPLIT(C298,""/| |:""),3), INDEX(SPLIT(C298,""/| |:""),2), INDEX(SPLIT(C298,""/| |:""),1)) + TIME(INDEX(SPLIT(C298,""/| |:""),4), INDEX(SPLIT(C298,""/| |:""),5), INDEX(SPLIT(C298,""/| |:""),6)) - DATE(1970,1,1)) * 86400)"),1.716659411E9)</f>
        <v>1716659411</v>
      </c>
    </row>
    <row r="299">
      <c r="A299" s="1" t="s">
        <v>176</v>
      </c>
      <c r="B299" s="5">
        <v>45569.47283564815</v>
      </c>
      <c r="C299" s="1" t="s">
        <v>1105</v>
      </c>
      <c r="D299" s="1" t="s">
        <v>1097</v>
      </c>
      <c r="F299" s="3">
        <f>IFERROR(__xludf.DUMMYFUNCTION("INT((DATE(INDEX(SPLIT(B299,""/| |:""),3), INDEX(SPLIT(B299,""/| |:""),2), INDEX(SPLIT(B299,""/| |:""),1)) + TIME(INDEX(SPLIT(B299,""/| |:""),4), INDEX(SPLIT(B299,""/| |:""),5), INDEX(SPLIT(B299,""/| |:""),6)) - DATE(1970,1,1)) * 86400)"),1.712748053E9)</f>
        <v>1712748053</v>
      </c>
      <c r="G299" s="3">
        <f>IFERROR(__xludf.DUMMYFUNCTION("INT((DATE(INDEX(SPLIT(C299,""/| |:""),3), INDEX(SPLIT(C299,""/| |:""),2), INDEX(SPLIT(C299,""/| |:""),1)) + TIME(INDEX(SPLIT(C299,""/| |:""),4), INDEX(SPLIT(C299,""/| |:""),5), INDEX(SPLIT(C299,""/| |:""),6)) - DATE(1970,1,1)) * 86400)"),1.716636053E9)</f>
        <v>1716636053</v>
      </c>
    </row>
    <row r="300">
      <c r="A300" s="1" t="s">
        <v>176</v>
      </c>
      <c r="B300" s="5">
        <v>45569.471817129626</v>
      </c>
      <c r="C300" s="1" t="s">
        <v>1106</v>
      </c>
      <c r="D300" s="1" t="s">
        <v>1097</v>
      </c>
      <c r="F300" s="3">
        <f>IFERROR(__xludf.DUMMYFUNCTION("INT((DATE(INDEX(SPLIT(B300,""/| |:""),3), INDEX(SPLIT(B300,""/| |:""),2), INDEX(SPLIT(B300,""/| |:""),1)) + TIME(INDEX(SPLIT(B300,""/| |:""),4), INDEX(SPLIT(B300,""/| |:""),5), INDEX(SPLIT(B300,""/| |:""),6)) - DATE(1970,1,1)) * 86400)"),1.712747965E9)</f>
        <v>1712747965</v>
      </c>
      <c r="G300" s="3">
        <f>IFERROR(__xludf.DUMMYFUNCTION("INT((DATE(INDEX(SPLIT(C300,""/| |:""),3), INDEX(SPLIT(C300,""/| |:""),2), INDEX(SPLIT(C300,""/| |:""),1)) + TIME(INDEX(SPLIT(C300,""/| |:""),4), INDEX(SPLIT(C300,""/| |:""),5), INDEX(SPLIT(C300,""/| |:""),6)) - DATE(1970,1,1)) * 86400)"),1.716635965E9)</f>
        <v>1716635965</v>
      </c>
    </row>
    <row r="301">
      <c r="A301" s="1" t="s">
        <v>180</v>
      </c>
      <c r="B301" s="5">
        <v>45539.798634259256</v>
      </c>
      <c r="C301" s="1" t="s">
        <v>1107</v>
      </c>
      <c r="D301" s="1" t="s">
        <v>1097</v>
      </c>
      <c r="F301" s="3">
        <f>IFERROR(__xludf.DUMMYFUNCTION("INT((DATE(INDEX(SPLIT(B301,""/| |:""),3), INDEX(SPLIT(B301,""/| |:""),2), INDEX(SPLIT(B301,""/| |:""),1)) + TIME(INDEX(SPLIT(B301,""/| |:""),4), INDEX(SPLIT(B301,""/| |:""),5), INDEX(SPLIT(B301,""/| |:""),6)) - DATE(1970,1,1)) * 86400)"),1.712689802E9)</f>
        <v>1712689802</v>
      </c>
      <c r="G301" s="3">
        <f>IFERROR(__xludf.DUMMYFUNCTION("INT((DATE(INDEX(SPLIT(C301,""/| |:""),3), INDEX(SPLIT(C301,""/| |:""),2), INDEX(SPLIT(C301,""/| |:""),1)) + TIME(INDEX(SPLIT(C301,""/| |:""),4), INDEX(SPLIT(C301,""/| |:""),5), INDEX(SPLIT(C301,""/| |:""),6)) - DATE(1970,1,1)) * 86400)"),1.716577802E9)</f>
        <v>1716577802</v>
      </c>
    </row>
    <row r="302">
      <c r="A302" s="1" t="s">
        <v>181</v>
      </c>
      <c r="B302" s="5">
        <v>45539.767905092594</v>
      </c>
      <c r="C302" s="1" t="s">
        <v>1108</v>
      </c>
      <c r="D302" s="1" t="s">
        <v>1097</v>
      </c>
      <c r="F302" s="3">
        <f>IFERROR(__xludf.DUMMYFUNCTION("INT((DATE(INDEX(SPLIT(B302,""/| |:""),3), INDEX(SPLIT(B302,""/| |:""),2), INDEX(SPLIT(B302,""/| |:""),1)) + TIME(INDEX(SPLIT(B302,""/| |:""),4), INDEX(SPLIT(B302,""/| |:""),5), INDEX(SPLIT(B302,""/| |:""),6)) - DATE(1970,1,1)) * 86400)"),1.712687147E9)</f>
        <v>1712687147</v>
      </c>
      <c r="G302" s="3">
        <f>IFERROR(__xludf.DUMMYFUNCTION("INT((DATE(INDEX(SPLIT(C302,""/| |:""),3), INDEX(SPLIT(C302,""/| |:""),2), INDEX(SPLIT(C302,""/| |:""),1)) + TIME(INDEX(SPLIT(C302,""/| |:""),4), INDEX(SPLIT(C302,""/| |:""),5), INDEX(SPLIT(C302,""/| |:""),6)) - DATE(1970,1,1)) * 86400)"),1.716575147E9)</f>
        <v>1716575147</v>
      </c>
    </row>
    <row r="303">
      <c r="A303" s="1" t="s">
        <v>182</v>
      </c>
      <c r="B303" s="5">
        <v>45539.75042824074</v>
      </c>
      <c r="C303" s="1" t="s">
        <v>1109</v>
      </c>
      <c r="D303" s="1" t="s">
        <v>1097</v>
      </c>
      <c r="F303" s="3">
        <f>IFERROR(__xludf.DUMMYFUNCTION("INT((DATE(INDEX(SPLIT(B303,""/| |:""),3), INDEX(SPLIT(B303,""/| |:""),2), INDEX(SPLIT(B303,""/| |:""),1)) + TIME(INDEX(SPLIT(B303,""/| |:""),4), INDEX(SPLIT(B303,""/| |:""),5), INDEX(SPLIT(B303,""/| |:""),6)) - DATE(1970,1,1)) * 86400)"),1.712685637E9)</f>
        <v>1712685637</v>
      </c>
      <c r="G303" s="3">
        <f>IFERROR(__xludf.DUMMYFUNCTION("INT((DATE(INDEX(SPLIT(C303,""/| |:""),3), INDEX(SPLIT(C303,""/| |:""),2), INDEX(SPLIT(C303,""/| |:""),1)) + TIME(INDEX(SPLIT(C303,""/| |:""),4), INDEX(SPLIT(C303,""/| |:""),5), INDEX(SPLIT(C303,""/| |:""),6)) - DATE(1970,1,1)) * 86400)"),1.716573637E9)</f>
        <v>1716573637</v>
      </c>
    </row>
    <row r="304">
      <c r="A304" s="1" t="s">
        <v>183</v>
      </c>
      <c r="B304" s="5">
        <v>45539.734976851854</v>
      </c>
      <c r="C304" s="1" t="s">
        <v>1110</v>
      </c>
      <c r="D304" s="1" t="s">
        <v>1097</v>
      </c>
      <c r="F304" s="3">
        <f>IFERROR(__xludf.DUMMYFUNCTION("INT((DATE(INDEX(SPLIT(B304,""/| |:""),3), INDEX(SPLIT(B304,""/| |:""),2), INDEX(SPLIT(B304,""/| |:""),1)) + TIME(INDEX(SPLIT(B304,""/| |:""),4), INDEX(SPLIT(B304,""/| |:""),5), INDEX(SPLIT(B304,""/| |:""),6)) - DATE(1970,1,1)) * 86400)"),1.712684302E9)</f>
        <v>1712684302</v>
      </c>
      <c r="G304" s="3">
        <f>IFERROR(__xludf.DUMMYFUNCTION("INT((DATE(INDEX(SPLIT(C304,""/| |:""),3), INDEX(SPLIT(C304,""/| |:""),2), INDEX(SPLIT(C304,""/| |:""),1)) + TIME(INDEX(SPLIT(C304,""/| |:""),4), INDEX(SPLIT(C304,""/| |:""),5), INDEX(SPLIT(C304,""/| |:""),6)) - DATE(1970,1,1)) * 86400)"),1.716572302E9)</f>
        <v>1716572302</v>
      </c>
    </row>
    <row r="305">
      <c r="A305" s="1" t="s">
        <v>184</v>
      </c>
      <c r="B305" s="5">
        <v>45539.7334837963</v>
      </c>
      <c r="C305" s="1" t="s">
        <v>1111</v>
      </c>
      <c r="D305" s="1" t="s">
        <v>1097</v>
      </c>
      <c r="F305" s="3">
        <f>IFERROR(__xludf.DUMMYFUNCTION("INT((DATE(INDEX(SPLIT(B305,""/| |:""),3), INDEX(SPLIT(B305,""/| |:""),2), INDEX(SPLIT(B305,""/| |:""),1)) + TIME(INDEX(SPLIT(B305,""/| |:""),4), INDEX(SPLIT(B305,""/| |:""),5), INDEX(SPLIT(B305,""/| |:""),6)) - DATE(1970,1,1)) * 86400)"),1.712684173E9)</f>
        <v>1712684173</v>
      </c>
      <c r="G305" s="3">
        <f>IFERROR(__xludf.DUMMYFUNCTION("INT((DATE(INDEX(SPLIT(C305,""/| |:""),3), INDEX(SPLIT(C305,""/| |:""),2), INDEX(SPLIT(C305,""/| |:""),1)) + TIME(INDEX(SPLIT(C305,""/| |:""),4), INDEX(SPLIT(C305,""/| |:""),5), INDEX(SPLIT(C305,""/| |:""),6)) - DATE(1970,1,1)) * 86400)"),1.716572173E9)</f>
        <v>1716572173</v>
      </c>
    </row>
    <row r="306">
      <c r="A306" s="1" t="s">
        <v>179</v>
      </c>
      <c r="B306" s="5">
        <v>45539.73244212963</v>
      </c>
      <c r="C306" s="1" t="s">
        <v>1112</v>
      </c>
      <c r="D306" s="1" t="s">
        <v>1097</v>
      </c>
      <c r="F306" s="3">
        <f>IFERROR(__xludf.DUMMYFUNCTION("INT((DATE(INDEX(SPLIT(B306,""/| |:""),3), INDEX(SPLIT(B306,""/| |:""),2), INDEX(SPLIT(B306,""/| |:""),1)) + TIME(INDEX(SPLIT(B306,""/| |:""),4), INDEX(SPLIT(B306,""/| |:""),5), INDEX(SPLIT(B306,""/| |:""),6)) - DATE(1970,1,1)) * 86400)"),1.712684083E9)</f>
        <v>1712684083</v>
      </c>
      <c r="G306" s="3">
        <f>IFERROR(__xludf.DUMMYFUNCTION("INT((DATE(INDEX(SPLIT(C306,""/| |:""),3), INDEX(SPLIT(C306,""/| |:""),2), INDEX(SPLIT(C306,""/| |:""),1)) + TIME(INDEX(SPLIT(C306,""/| |:""),4), INDEX(SPLIT(C306,""/| |:""),5), INDEX(SPLIT(C306,""/| |:""),6)) - DATE(1970,1,1)) * 86400)"),1.716572083E9)</f>
        <v>1716572083</v>
      </c>
    </row>
    <row r="307">
      <c r="A307" s="1" t="s">
        <v>176</v>
      </c>
      <c r="B307" s="5">
        <v>45539.730219907404</v>
      </c>
      <c r="C307" s="1" t="s">
        <v>1113</v>
      </c>
      <c r="D307" s="1" t="s">
        <v>1097</v>
      </c>
      <c r="F307" s="3">
        <f>IFERROR(__xludf.DUMMYFUNCTION("INT((DATE(INDEX(SPLIT(B307,""/| |:""),3), INDEX(SPLIT(B307,""/| |:""),2), INDEX(SPLIT(B307,""/| |:""),1)) + TIME(INDEX(SPLIT(B307,""/| |:""),4), INDEX(SPLIT(B307,""/| |:""),5), INDEX(SPLIT(B307,""/| |:""),6)) - DATE(1970,1,1)) * 86400)"),1.712683891E9)</f>
        <v>1712683891</v>
      </c>
      <c r="G307" s="3">
        <f>IFERROR(__xludf.DUMMYFUNCTION("INT((DATE(INDEX(SPLIT(C307,""/| |:""),3), INDEX(SPLIT(C307,""/| |:""),2), INDEX(SPLIT(C307,""/| |:""),1)) + TIME(INDEX(SPLIT(C307,""/| |:""),4), INDEX(SPLIT(C307,""/| |:""),5), INDEX(SPLIT(C307,""/| |:""),6)) - DATE(1970,1,1)) * 86400)"),1.716571891E9)</f>
        <v>1716571891</v>
      </c>
    </row>
    <row r="308">
      <c r="A308" s="1" t="s">
        <v>185</v>
      </c>
      <c r="B308" s="5">
        <v>45539.72951388889</v>
      </c>
      <c r="C308" s="1" t="s">
        <v>1114</v>
      </c>
      <c r="D308" s="1" t="s">
        <v>1097</v>
      </c>
      <c r="F308" s="3">
        <f>IFERROR(__xludf.DUMMYFUNCTION("INT((DATE(INDEX(SPLIT(B308,""/| |:""),3), INDEX(SPLIT(B308,""/| |:""),2), INDEX(SPLIT(B308,""/| |:""),1)) + TIME(INDEX(SPLIT(B308,""/| |:""),4), INDEX(SPLIT(B308,""/| |:""),5), INDEX(SPLIT(B308,""/| |:""),6)) - DATE(1970,1,1)) * 86400)"),1.71268383E9)</f>
        <v>1712683830</v>
      </c>
      <c r="G308" s="3">
        <f>IFERROR(__xludf.DUMMYFUNCTION("INT((DATE(INDEX(SPLIT(C308,""/| |:""),3), INDEX(SPLIT(C308,""/| |:""),2), INDEX(SPLIT(C308,""/| |:""),1)) + TIME(INDEX(SPLIT(C308,""/| |:""),4), INDEX(SPLIT(C308,""/| |:""),5), INDEX(SPLIT(C308,""/| |:""),6)) - DATE(1970,1,1)) * 86400)"),1.71657183E9)</f>
        <v>1716571830</v>
      </c>
    </row>
    <row r="309">
      <c r="A309" s="1" t="s">
        <v>186</v>
      </c>
      <c r="B309" s="5">
        <v>45539.72163194444</v>
      </c>
      <c r="C309" s="1" t="s">
        <v>1115</v>
      </c>
      <c r="D309" s="1" t="s">
        <v>1097</v>
      </c>
      <c r="F309" s="3">
        <f>IFERROR(__xludf.DUMMYFUNCTION("INT((DATE(INDEX(SPLIT(B309,""/| |:""),3), INDEX(SPLIT(B309,""/| |:""),2), INDEX(SPLIT(B309,""/| |:""),1)) + TIME(INDEX(SPLIT(B309,""/| |:""),4), INDEX(SPLIT(B309,""/| |:""),5), INDEX(SPLIT(B309,""/| |:""),6)) - DATE(1970,1,1)) * 86400)"),1.712683149E9)</f>
        <v>1712683149</v>
      </c>
      <c r="G309" s="3">
        <f>IFERROR(__xludf.DUMMYFUNCTION("INT((DATE(INDEX(SPLIT(C309,""/| |:""),3), INDEX(SPLIT(C309,""/| |:""),2), INDEX(SPLIT(C309,""/| |:""),1)) + TIME(INDEX(SPLIT(C309,""/| |:""),4), INDEX(SPLIT(C309,""/| |:""),5), INDEX(SPLIT(C309,""/| |:""),6)) - DATE(1970,1,1)) * 86400)"),1.716571149E9)</f>
        <v>1716571149</v>
      </c>
    </row>
    <row r="310">
      <c r="A310" s="1" t="s">
        <v>175</v>
      </c>
      <c r="B310" s="5">
        <v>45539.67530092593</v>
      </c>
      <c r="C310" s="1" t="s">
        <v>1116</v>
      </c>
      <c r="D310" s="1" t="s">
        <v>1097</v>
      </c>
      <c r="F310" s="3">
        <f>IFERROR(__xludf.DUMMYFUNCTION("INT((DATE(INDEX(SPLIT(B310,""/| |:""),3), INDEX(SPLIT(B310,""/| |:""),2), INDEX(SPLIT(B310,""/| |:""),1)) + TIME(INDEX(SPLIT(B310,""/| |:""),4), INDEX(SPLIT(B310,""/| |:""),5), INDEX(SPLIT(B310,""/| |:""),6)) - DATE(1970,1,1)) * 86400)"),1.712679146E9)</f>
        <v>1712679146</v>
      </c>
      <c r="G310" s="3">
        <f>IFERROR(__xludf.DUMMYFUNCTION("INT((DATE(INDEX(SPLIT(C310,""/| |:""),3), INDEX(SPLIT(C310,""/| |:""),2), INDEX(SPLIT(C310,""/| |:""),1)) + TIME(INDEX(SPLIT(C310,""/| |:""),4), INDEX(SPLIT(C310,""/| |:""),5), INDEX(SPLIT(C310,""/| |:""),6)) - DATE(1970,1,1)) * 86400)"),1.716567146E9)</f>
        <v>1716567146</v>
      </c>
    </row>
    <row r="311">
      <c r="A311" s="1" t="s">
        <v>176</v>
      </c>
      <c r="B311" s="5">
        <v>45539.669652777775</v>
      </c>
      <c r="C311" s="1" t="s">
        <v>1117</v>
      </c>
      <c r="D311" s="1" t="s">
        <v>1097</v>
      </c>
      <c r="F311" s="3">
        <f>IFERROR(__xludf.DUMMYFUNCTION("INT((DATE(INDEX(SPLIT(B311,""/| |:""),3), INDEX(SPLIT(B311,""/| |:""),2), INDEX(SPLIT(B311,""/| |:""),1)) + TIME(INDEX(SPLIT(B311,""/| |:""),4), INDEX(SPLIT(B311,""/| |:""),5), INDEX(SPLIT(B311,""/| |:""),6)) - DATE(1970,1,1)) * 86400)"),1.712678658E9)</f>
        <v>1712678658</v>
      </c>
      <c r="G311" s="3">
        <f>IFERROR(__xludf.DUMMYFUNCTION("INT((DATE(INDEX(SPLIT(C311,""/| |:""),3), INDEX(SPLIT(C311,""/| |:""),2), INDEX(SPLIT(C311,""/| |:""),1)) + TIME(INDEX(SPLIT(C311,""/| |:""),4), INDEX(SPLIT(C311,""/| |:""),5), INDEX(SPLIT(C311,""/| |:""),6)) - DATE(1970,1,1)) * 86400)"),1.716566658E9)</f>
        <v>1716566658</v>
      </c>
    </row>
    <row r="312">
      <c r="A312" s="1" t="s">
        <v>187</v>
      </c>
      <c r="B312" s="5">
        <v>45539.668229166666</v>
      </c>
      <c r="C312" s="1" t="s">
        <v>1118</v>
      </c>
      <c r="D312" s="1" t="s">
        <v>1097</v>
      </c>
      <c r="F312" s="3">
        <f>IFERROR(__xludf.DUMMYFUNCTION("INT((DATE(INDEX(SPLIT(B312,""/| |:""),3), INDEX(SPLIT(B312,""/| |:""),2), INDEX(SPLIT(B312,""/| |:""),1)) + TIME(INDEX(SPLIT(B312,""/| |:""),4), INDEX(SPLIT(B312,""/| |:""),5), INDEX(SPLIT(B312,""/| |:""),6)) - DATE(1970,1,1)) * 86400)"),1.712678535E9)</f>
        <v>1712678535</v>
      </c>
      <c r="G312" s="3">
        <f>IFERROR(__xludf.DUMMYFUNCTION("INT((DATE(INDEX(SPLIT(C312,""/| |:""),3), INDEX(SPLIT(C312,""/| |:""),2), INDEX(SPLIT(C312,""/| |:""),1)) + TIME(INDEX(SPLIT(C312,""/| |:""),4), INDEX(SPLIT(C312,""/| |:""),5), INDEX(SPLIT(C312,""/| |:""),6)) - DATE(1970,1,1)) * 86400)"),1.716566535E9)</f>
        <v>1716566535</v>
      </c>
    </row>
    <row r="313">
      <c r="A313" s="1" t="s">
        <v>188</v>
      </c>
      <c r="B313" s="5">
        <v>45539.66519675926</v>
      </c>
      <c r="C313" s="1" t="s">
        <v>1119</v>
      </c>
      <c r="D313" s="1" t="s">
        <v>1097</v>
      </c>
      <c r="F313" s="3">
        <f>IFERROR(__xludf.DUMMYFUNCTION("INT((DATE(INDEX(SPLIT(B313,""/| |:""),3), INDEX(SPLIT(B313,""/| |:""),2), INDEX(SPLIT(B313,""/| |:""),1)) + TIME(INDEX(SPLIT(B313,""/| |:""),4), INDEX(SPLIT(B313,""/| |:""),5), INDEX(SPLIT(B313,""/| |:""),6)) - DATE(1970,1,1)) * 86400)"),1.712678273E9)</f>
        <v>1712678273</v>
      </c>
      <c r="G313" s="3">
        <f>IFERROR(__xludf.DUMMYFUNCTION("INT((DATE(INDEX(SPLIT(C313,""/| |:""),3), INDEX(SPLIT(C313,""/| |:""),2), INDEX(SPLIT(C313,""/| |:""),1)) + TIME(INDEX(SPLIT(C313,""/| |:""),4), INDEX(SPLIT(C313,""/| |:""),5), INDEX(SPLIT(C313,""/| |:""),6)) - DATE(1970,1,1)) * 86400)"),1.716566273E9)</f>
        <v>1716566273</v>
      </c>
    </row>
    <row r="314">
      <c r="A314" s="1" t="s">
        <v>186</v>
      </c>
      <c r="B314" s="5">
        <v>45539.66459490741</v>
      </c>
      <c r="C314" s="1" t="s">
        <v>1120</v>
      </c>
      <c r="D314" s="1" t="s">
        <v>1097</v>
      </c>
      <c r="F314" s="3">
        <f>IFERROR(__xludf.DUMMYFUNCTION("INT((DATE(INDEX(SPLIT(B314,""/| |:""),3), INDEX(SPLIT(B314,""/| |:""),2), INDEX(SPLIT(B314,""/| |:""),1)) + TIME(INDEX(SPLIT(B314,""/| |:""),4), INDEX(SPLIT(B314,""/| |:""),5), INDEX(SPLIT(B314,""/| |:""),6)) - DATE(1970,1,1)) * 86400)"),1.712678221E9)</f>
        <v>1712678221</v>
      </c>
      <c r="G314" s="3">
        <f>IFERROR(__xludf.DUMMYFUNCTION("INT((DATE(INDEX(SPLIT(C314,""/| |:""),3), INDEX(SPLIT(C314,""/| |:""),2), INDEX(SPLIT(C314,""/| |:""),1)) + TIME(INDEX(SPLIT(C314,""/| |:""),4), INDEX(SPLIT(C314,""/| |:""),5), INDEX(SPLIT(C314,""/| |:""),6)) - DATE(1970,1,1)) * 86400)"),1.716566221E9)</f>
        <v>1716566221</v>
      </c>
    </row>
    <row r="315">
      <c r="A315" s="1" t="s">
        <v>183</v>
      </c>
      <c r="B315" s="5">
        <v>45539.66255787037</v>
      </c>
      <c r="C315" s="1" t="s">
        <v>1121</v>
      </c>
      <c r="D315" s="1" t="s">
        <v>1097</v>
      </c>
      <c r="F315" s="3">
        <f>IFERROR(__xludf.DUMMYFUNCTION("INT((DATE(INDEX(SPLIT(B315,""/| |:""),3), INDEX(SPLIT(B315,""/| |:""),2), INDEX(SPLIT(B315,""/| |:""),1)) + TIME(INDEX(SPLIT(B315,""/| |:""),4), INDEX(SPLIT(B315,""/| |:""),5), INDEX(SPLIT(B315,""/| |:""),6)) - DATE(1970,1,1)) * 86400)"),1.712678045E9)</f>
        <v>1712678045</v>
      </c>
      <c r="G315" s="3">
        <f>IFERROR(__xludf.DUMMYFUNCTION("INT((DATE(INDEX(SPLIT(C315,""/| |:""),3), INDEX(SPLIT(C315,""/| |:""),2), INDEX(SPLIT(C315,""/| |:""),1)) + TIME(INDEX(SPLIT(C315,""/| |:""),4), INDEX(SPLIT(C315,""/| |:""),5), INDEX(SPLIT(C315,""/| |:""),6)) - DATE(1970,1,1)) * 86400)"),1.716566045E9)</f>
        <v>1716566045</v>
      </c>
    </row>
    <row r="316">
      <c r="A316" s="1" t="s">
        <v>142</v>
      </c>
      <c r="B316" s="5" t="s">
        <v>1122</v>
      </c>
      <c r="C316" s="1" t="s">
        <v>1123</v>
      </c>
      <c r="D316" s="1" t="s">
        <v>1124</v>
      </c>
      <c r="F316" s="3">
        <f>IFERROR(__xludf.DUMMYFUNCTION("INT((DATE(INDEX(SPLIT(B316,""/| |:""),3), INDEX(SPLIT(B316,""/| |:""),2), INDEX(SPLIT(B316,""/| |:""),1)) + TIME(INDEX(SPLIT(B316,""/| |:""),4), INDEX(SPLIT(B316,""/| |:""),5), INDEX(SPLIT(B316,""/| |:""),6)) - DATE(1970,1,1)) * 86400)"),1.709141265E9)</f>
        <v>1709141265</v>
      </c>
      <c r="G316" s="3">
        <f>IFERROR(__xludf.DUMMYFUNCTION("INT((DATE(INDEX(SPLIT(C316,""/| |:""),3), INDEX(SPLIT(C316,""/| |:""),2), INDEX(SPLIT(C316,""/| |:""),1)) + TIME(INDEX(SPLIT(C316,""/| |:""),4), INDEX(SPLIT(C316,""/| |:""),5), INDEX(SPLIT(C316,""/| |:""),6)) - DATE(1970,1,1)) * 86400)"),1.713029265E9)</f>
        <v>1713029265</v>
      </c>
    </row>
    <row r="317">
      <c r="A317" s="1" t="s">
        <v>6</v>
      </c>
      <c r="B317" s="5" t="s">
        <v>1125</v>
      </c>
      <c r="C317" s="1" t="s">
        <v>1126</v>
      </c>
      <c r="D317" s="1" t="s">
        <v>1127</v>
      </c>
      <c r="F317" s="3">
        <f>IFERROR(__xludf.DUMMYFUNCTION("INT((DATE(INDEX(SPLIT(B317,""/| |:""),3), INDEX(SPLIT(B317,""/| |:""),2), INDEX(SPLIT(B317,""/| |:""),1)) + TIME(INDEX(SPLIT(B317,""/| |:""),4), INDEX(SPLIT(B317,""/| |:""),5), INDEX(SPLIT(B317,""/| |:""),6)) - DATE(1970,1,1)) * 86400)"),1.709226773E9)</f>
        <v>1709226773</v>
      </c>
      <c r="G317" s="3">
        <f>IFERROR(__xludf.DUMMYFUNCTION("INT((DATE(INDEX(SPLIT(C317,""/| |:""),3), INDEX(SPLIT(C317,""/| |:""),2), INDEX(SPLIT(C317,""/| |:""),1)) + TIME(INDEX(SPLIT(C317,""/| |:""),4), INDEX(SPLIT(C317,""/| |:""),5), INDEX(SPLIT(C317,""/| |:""),6)) - DATE(1970,1,1)) * 86400)"),1.713114773E9)</f>
        <v>1713114773</v>
      </c>
    </row>
    <row r="318">
      <c r="A318" s="1" t="s">
        <v>6</v>
      </c>
      <c r="B318" s="5" t="s">
        <v>1128</v>
      </c>
      <c r="C318" s="1" t="s">
        <v>1129</v>
      </c>
      <c r="D318" s="1" t="s">
        <v>1130</v>
      </c>
      <c r="F318" s="3">
        <f>IFERROR(__xludf.DUMMYFUNCTION("INT((DATE(INDEX(SPLIT(B318,""/| |:""),3), INDEX(SPLIT(B318,""/| |:""),2), INDEX(SPLIT(B318,""/| |:""),1)) + TIME(INDEX(SPLIT(B318,""/| |:""),4), INDEX(SPLIT(B318,""/| |:""),5), INDEX(SPLIT(B318,""/| |:""),6)) - DATE(1970,1,1)) * 86400)"),1.709227137E9)</f>
        <v>1709227137</v>
      </c>
      <c r="G318" s="3">
        <f>IFERROR(__xludf.DUMMYFUNCTION("INT((DATE(INDEX(SPLIT(C318,""/| |:""),3), INDEX(SPLIT(C318,""/| |:""),2), INDEX(SPLIT(C318,""/| |:""),1)) + TIME(INDEX(SPLIT(C318,""/| |:""),4), INDEX(SPLIT(C318,""/| |:""),5), INDEX(SPLIT(C318,""/| |:""),6)) - DATE(1970,1,1)) * 86400)"),1.713115137E9)</f>
        <v>1713115137</v>
      </c>
    </row>
    <row r="319">
      <c r="A319" s="1" t="s">
        <v>6</v>
      </c>
      <c r="B319" s="5" t="s">
        <v>1131</v>
      </c>
      <c r="C319" s="1" t="s">
        <v>1132</v>
      </c>
      <c r="D319" s="1" t="s">
        <v>1133</v>
      </c>
      <c r="F319" s="3">
        <f>IFERROR(__xludf.DUMMYFUNCTION("INT((DATE(INDEX(SPLIT(B319,""/| |:""),3), INDEX(SPLIT(B319,""/| |:""),2), INDEX(SPLIT(B319,""/| |:""),1)) + TIME(INDEX(SPLIT(B319,""/| |:""),4), INDEX(SPLIT(B319,""/| |:""),5), INDEX(SPLIT(B319,""/| |:""),6)) - DATE(1970,1,1)) * 86400)"),1.709227388E9)</f>
        <v>1709227388</v>
      </c>
      <c r="G319" s="3">
        <f>IFERROR(__xludf.DUMMYFUNCTION("INT((DATE(INDEX(SPLIT(C319,""/| |:""),3), INDEX(SPLIT(C319,""/| |:""),2), INDEX(SPLIT(C319,""/| |:""),1)) + TIME(INDEX(SPLIT(C319,""/| |:""),4), INDEX(SPLIT(C319,""/| |:""),5), INDEX(SPLIT(C319,""/| |:""),6)) - DATE(1970,1,1)) * 86400)"),1.713115388E9)</f>
        <v>1713115388</v>
      </c>
    </row>
    <row r="320">
      <c r="A320" s="1" t="s">
        <v>86</v>
      </c>
      <c r="B320" s="5" t="s">
        <v>1134</v>
      </c>
      <c r="C320" s="1" t="s">
        <v>1135</v>
      </c>
      <c r="D320" s="1" t="s">
        <v>1136</v>
      </c>
      <c r="F320" s="3">
        <f>IFERROR(__xludf.DUMMYFUNCTION("INT((DATE(INDEX(SPLIT(B320,""/| |:""),3), INDEX(SPLIT(B320,""/| |:""),2), INDEX(SPLIT(B320,""/| |:""),1)) + TIME(INDEX(SPLIT(B320,""/| |:""),4), INDEX(SPLIT(B320,""/| |:""),5), INDEX(SPLIT(B320,""/| |:""),6)) - DATE(1970,1,1)) * 86400)"),1.709227908E9)</f>
        <v>1709227908</v>
      </c>
      <c r="G320" s="3">
        <f>IFERROR(__xludf.DUMMYFUNCTION("INT((DATE(INDEX(SPLIT(C320,""/| |:""),3), INDEX(SPLIT(C320,""/| |:""),2), INDEX(SPLIT(C320,""/| |:""),1)) + TIME(INDEX(SPLIT(C320,""/| |:""),4), INDEX(SPLIT(C320,""/| |:""),5), INDEX(SPLIT(C320,""/| |:""),6)) - DATE(1970,1,1)) * 86400)"),1.713115908E9)</f>
        <v>1713115908</v>
      </c>
    </row>
    <row r="321">
      <c r="A321" s="1" t="s">
        <v>416</v>
      </c>
      <c r="B321" s="5" t="s">
        <v>1137</v>
      </c>
      <c r="C321" s="1" t="s">
        <v>1138</v>
      </c>
      <c r="D321" s="1" t="s">
        <v>1139</v>
      </c>
      <c r="F321" s="3">
        <f>IFERROR(__xludf.DUMMYFUNCTION("INT((DATE(INDEX(SPLIT(B321,""/| |:""),3), INDEX(SPLIT(B321,""/| |:""),2), INDEX(SPLIT(B321,""/| |:""),1)) + TIME(INDEX(SPLIT(B321,""/| |:""),4), INDEX(SPLIT(B321,""/| |:""),5), INDEX(SPLIT(B321,""/| |:""),6)) - DATE(1970,1,1)) * 86400)"),1.709228342E9)</f>
        <v>1709228342</v>
      </c>
      <c r="G321" s="3">
        <f>IFERROR(__xludf.DUMMYFUNCTION("INT((DATE(INDEX(SPLIT(C321,""/| |:""),3), INDEX(SPLIT(C321,""/| |:""),2), INDEX(SPLIT(C321,""/| |:""),1)) + TIME(INDEX(SPLIT(C321,""/| |:""),4), INDEX(SPLIT(C321,""/| |:""),5), INDEX(SPLIT(C321,""/| |:""),6)) - DATE(1970,1,1)) * 86400)"),1.713116342E9)</f>
        <v>1713116342</v>
      </c>
    </row>
    <row r="322">
      <c r="A322" s="1" t="s">
        <v>415</v>
      </c>
      <c r="B322" s="5" t="s">
        <v>1140</v>
      </c>
      <c r="C322" s="1" t="s">
        <v>1141</v>
      </c>
      <c r="D322" s="1" t="s">
        <v>1142</v>
      </c>
      <c r="F322" s="3">
        <f>IFERROR(__xludf.DUMMYFUNCTION("INT((DATE(INDEX(SPLIT(B322,""/| |:""),3), INDEX(SPLIT(B322,""/| |:""),2), INDEX(SPLIT(B322,""/| |:""),1)) + TIME(INDEX(SPLIT(B322,""/| |:""),4), INDEX(SPLIT(B322,""/| |:""),5), INDEX(SPLIT(B322,""/| |:""),6)) - DATE(1970,1,1)) * 86400)"),1.709229654E9)</f>
        <v>1709229654</v>
      </c>
      <c r="G322" s="3">
        <f>IFERROR(__xludf.DUMMYFUNCTION("INT((DATE(INDEX(SPLIT(C322,""/| |:""),3), INDEX(SPLIT(C322,""/| |:""),2), INDEX(SPLIT(C322,""/| |:""),1)) + TIME(INDEX(SPLIT(C322,""/| |:""),4), INDEX(SPLIT(C322,""/| |:""),5), INDEX(SPLIT(C322,""/| |:""),6)) - DATE(1970,1,1)) * 86400)"),1.713117654E9)</f>
        <v>1713117654</v>
      </c>
    </row>
    <row r="323">
      <c r="A323" s="1" t="s">
        <v>414</v>
      </c>
      <c r="B323" s="5" t="s">
        <v>1143</v>
      </c>
      <c r="C323" s="1" t="s">
        <v>1144</v>
      </c>
      <c r="D323" s="1" t="s">
        <v>1145</v>
      </c>
      <c r="F323" s="3">
        <f>IFERROR(__xludf.DUMMYFUNCTION("INT((DATE(INDEX(SPLIT(B323,""/| |:""),3), INDEX(SPLIT(B323,""/| |:""),2), INDEX(SPLIT(B323,""/| |:""),1)) + TIME(INDEX(SPLIT(B323,""/| |:""),4), INDEX(SPLIT(B323,""/| |:""),5), INDEX(SPLIT(B323,""/| |:""),6)) - DATE(1970,1,1)) * 86400)"),1.709230969E9)</f>
        <v>1709230969</v>
      </c>
      <c r="G323" s="3">
        <f>IFERROR(__xludf.DUMMYFUNCTION("INT((DATE(INDEX(SPLIT(C323,""/| |:""),3), INDEX(SPLIT(C323,""/| |:""),2), INDEX(SPLIT(C323,""/| |:""),1)) + TIME(INDEX(SPLIT(C323,""/| |:""),4), INDEX(SPLIT(C323,""/| |:""),5), INDEX(SPLIT(C323,""/| |:""),6)) - DATE(1970,1,1)) * 86400)"),1.713118969E9)</f>
        <v>1713118969</v>
      </c>
    </row>
    <row r="324">
      <c r="A324" s="1" t="s">
        <v>413</v>
      </c>
      <c r="B324" s="5" t="s">
        <v>1146</v>
      </c>
      <c r="C324" s="1" t="s">
        <v>1147</v>
      </c>
      <c r="D324" s="1" t="s">
        <v>1148</v>
      </c>
      <c r="F324" s="3">
        <f>IFERROR(__xludf.DUMMYFUNCTION("INT((DATE(INDEX(SPLIT(B324,""/| |:""),3), INDEX(SPLIT(B324,""/| |:""),2), INDEX(SPLIT(B324,""/| |:""),1)) + TIME(INDEX(SPLIT(B324,""/| |:""),4), INDEX(SPLIT(B324,""/| |:""),5), INDEX(SPLIT(B324,""/| |:""),6)) - DATE(1970,1,1)) * 86400)"),1.709236925E9)</f>
        <v>1709236925</v>
      </c>
      <c r="G324" s="3">
        <f>IFERROR(__xludf.DUMMYFUNCTION("INT((DATE(INDEX(SPLIT(C324,""/| |:""),3), INDEX(SPLIT(C324,""/| |:""),2), INDEX(SPLIT(C324,""/| |:""),1)) + TIME(INDEX(SPLIT(C324,""/| |:""),4), INDEX(SPLIT(C324,""/| |:""),5), INDEX(SPLIT(C324,""/| |:""),6)) - DATE(1970,1,1)) * 86400)"),1.713124925E9)</f>
        <v>1713124925</v>
      </c>
    </row>
    <row r="325">
      <c r="A325" s="1" t="s">
        <v>412</v>
      </c>
      <c r="B325" s="5" t="s">
        <v>1149</v>
      </c>
      <c r="C325" s="1" t="s">
        <v>1150</v>
      </c>
      <c r="D325" s="1" t="s">
        <v>1151</v>
      </c>
      <c r="F325" s="3">
        <f>IFERROR(__xludf.DUMMYFUNCTION("INT((DATE(INDEX(SPLIT(B325,""/| |:""),3), INDEX(SPLIT(B325,""/| |:""),2), INDEX(SPLIT(B325,""/| |:""),1)) + TIME(INDEX(SPLIT(B325,""/| |:""),4), INDEX(SPLIT(B325,""/| |:""),5), INDEX(SPLIT(B325,""/| |:""),6)) - DATE(1970,1,1)) * 86400)"),1.70923825E9)</f>
        <v>1709238250</v>
      </c>
      <c r="G325" s="3">
        <f>IFERROR(__xludf.DUMMYFUNCTION("INT((DATE(INDEX(SPLIT(C325,""/| |:""),3), INDEX(SPLIT(C325,""/| |:""),2), INDEX(SPLIT(C325,""/| |:""),1)) + TIME(INDEX(SPLIT(C325,""/| |:""),4), INDEX(SPLIT(C325,""/| |:""),5), INDEX(SPLIT(C325,""/| |:""),6)) - DATE(1970,1,1)) * 86400)"),1.71312625E9)</f>
        <v>1713126250</v>
      </c>
    </row>
    <row r="326">
      <c r="A326" s="1" t="s">
        <v>411</v>
      </c>
      <c r="B326" s="5" t="s">
        <v>1152</v>
      </c>
      <c r="C326" s="1" t="s">
        <v>1153</v>
      </c>
      <c r="D326" s="1" t="s">
        <v>1154</v>
      </c>
      <c r="F326" s="3">
        <f>IFERROR(__xludf.DUMMYFUNCTION("INT((DATE(INDEX(SPLIT(B326,""/| |:""),3), INDEX(SPLIT(B326,""/| |:""),2), INDEX(SPLIT(B326,""/| |:""),1)) + TIME(INDEX(SPLIT(B326,""/| |:""),4), INDEX(SPLIT(B326,""/| |:""),5), INDEX(SPLIT(B326,""/| |:""),6)) - DATE(1970,1,1)) * 86400)"),1.709238943E9)</f>
        <v>1709238943</v>
      </c>
      <c r="G326" s="3">
        <f>IFERROR(__xludf.DUMMYFUNCTION("INT((DATE(INDEX(SPLIT(C326,""/| |:""),3), INDEX(SPLIT(C326,""/| |:""),2), INDEX(SPLIT(C326,""/| |:""),1)) + TIME(INDEX(SPLIT(C326,""/| |:""),4), INDEX(SPLIT(C326,""/| |:""),5), INDEX(SPLIT(C326,""/| |:""),6)) - DATE(1970,1,1)) * 86400)"),1.713126943E9)</f>
        <v>1713126943</v>
      </c>
    </row>
    <row r="327">
      <c r="A327" s="1" t="s">
        <v>6</v>
      </c>
      <c r="B327" s="5" t="s">
        <v>1155</v>
      </c>
      <c r="C327" s="1" t="s">
        <v>1156</v>
      </c>
      <c r="D327" s="1" t="s">
        <v>1157</v>
      </c>
      <c r="F327" s="3">
        <f>IFERROR(__xludf.DUMMYFUNCTION("INT((DATE(INDEX(SPLIT(B327,""/| |:""),3), INDEX(SPLIT(B327,""/| |:""),2), INDEX(SPLIT(B327,""/| |:""),1)) + TIME(INDEX(SPLIT(B327,""/| |:""),4), INDEX(SPLIT(B327,""/| |:""),5), INDEX(SPLIT(B327,""/| |:""),6)) - DATE(1970,1,1)) * 86400)"),1.709240655E9)</f>
        <v>1709240655</v>
      </c>
      <c r="G327" s="3">
        <f>IFERROR(__xludf.DUMMYFUNCTION("INT((DATE(INDEX(SPLIT(C327,""/| |:""),3), INDEX(SPLIT(C327,""/| |:""),2), INDEX(SPLIT(C327,""/| |:""),1)) + TIME(INDEX(SPLIT(C327,""/| |:""),4), INDEX(SPLIT(C327,""/| |:""),5), INDEX(SPLIT(C327,""/| |:""),6)) - DATE(1970,1,1)) * 86400)"),1.713128655E9)</f>
        <v>1713128655</v>
      </c>
    </row>
    <row r="328">
      <c r="A328" s="1" t="s">
        <v>6</v>
      </c>
      <c r="B328" s="5" t="s">
        <v>1158</v>
      </c>
      <c r="C328" s="1" t="s">
        <v>1159</v>
      </c>
      <c r="D328" s="1" t="s">
        <v>1160</v>
      </c>
      <c r="F328" s="3">
        <f>IFERROR(__xludf.DUMMYFUNCTION("INT((DATE(INDEX(SPLIT(B328,""/| |:""),3), INDEX(SPLIT(B328,""/| |:""),2), INDEX(SPLIT(B328,""/| |:""),1)) + TIME(INDEX(SPLIT(B328,""/| |:""),4), INDEX(SPLIT(B328,""/| |:""),5), INDEX(SPLIT(B328,""/| |:""),6)) - DATE(1970,1,1)) * 86400)"),1.709240687E9)</f>
        <v>1709240687</v>
      </c>
      <c r="G328" s="3">
        <f>IFERROR(__xludf.DUMMYFUNCTION("INT((DATE(INDEX(SPLIT(C328,""/| |:""),3), INDEX(SPLIT(C328,""/| |:""),2), INDEX(SPLIT(C328,""/| |:""),1)) + TIME(INDEX(SPLIT(C328,""/| |:""),4), INDEX(SPLIT(C328,""/| |:""),5), INDEX(SPLIT(C328,""/| |:""),6)) - DATE(1970,1,1)) * 86400)"),1.713128687E9)</f>
        <v>1713128687</v>
      </c>
    </row>
    <row r="329">
      <c r="A329" s="1" t="s">
        <v>6</v>
      </c>
      <c r="B329" s="5" t="s">
        <v>1161</v>
      </c>
      <c r="C329" s="1" t="s">
        <v>1162</v>
      </c>
      <c r="D329" s="1" t="s">
        <v>1160</v>
      </c>
      <c r="F329" s="3">
        <f>IFERROR(__xludf.DUMMYFUNCTION("INT((DATE(INDEX(SPLIT(B329,""/| |:""),3), INDEX(SPLIT(B329,""/| |:""),2), INDEX(SPLIT(B329,""/| |:""),1)) + TIME(INDEX(SPLIT(B329,""/| |:""),4), INDEX(SPLIT(B329,""/| |:""),5), INDEX(SPLIT(B329,""/| |:""),6)) - DATE(1970,1,1)) * 86400)"),1.709240733E9)</f>
        <v>1709240733</v>
      </c>
      <c r="G329" s="3">
        <f>IFERROR(__xludf.DUMMYFUNCTION("INT((DATE(INDEX(SPLIT(C329,""/| |:""),3), INDEX(SPLIT(C329,""/| |:""),2), INDEX(SPLIT(C329,""/| |:""),1)) + TIME(INDEX(SPLIT(C329,""/| |:""),4), INDEX(SPLIT(C329,""/| |:""),5), INDEX(SPLIT(C329,""/| |:""),6)) - DATE(1970,1,1)) * 86400)"),1.713128733E9)</f>
        <v>1713128733</v>
      </c>
    </row>
    <row r="330">
      <c r="A330" s="1" t="s">
        <v>6</v>
      </c>
      <c r="B330" s="5" t="s">
        <v>1163</v>
      </c>
      <c r="C330" s="1" t="s">
        <v>1164</v>
      </c>
      <c r="D330" s="1" t="s">
        <v>1160</v>
      </c>
      <c r="F330" s="3">
        <f>IFERROR(__xludf.DUMMYFUNCTION("INT((DATE(INDEX(SPLIT(B330,""/| |:""),3), INDEX(SPLIT(B330,""/| |:""),2), INDEX(SPLIT(B330,""/| |:""),1)) + TIME(INDEX(SPLIT(B330,""/| |:""),4), INDEX(SPLIT(B330,""/| |:""),5), INDEX(SPLIT(B330,""/| |:""),6)) - DATE(1970,1,1)) * 86400)"),1.709240769E9)</f>
        <v>1709240769</v>
      </c>
      <c r="G330" s="3">
        <f>IFERROR(__xludf.DUMMYFUNCTION("INT((DATE(INDEX(SPLIT(C330,""/| |:""),3), INDEX(SPLIT(C330,""/| |:""),2), INDEX(SPLIT(C330,""/| |:""),1)) + TIME(INDEX(SPLIT(C330,""/| |:""),4), INDEX(SPLIT(C330,""/| |:""),5), INDEX(SPLIT(C330,""/| |:""),6)) - DATE(1970,1,1)) * 86400)"),1.713128769E9)</f>
        <v>1713128769</v>
      </c>
    </row>
    <row r="331">
      <c r="A331" s="1" t="s">
        <v>6</v>
      </c>
      <c r="B331" s="5" t="s">
        <v>1165</v>
      </c>
      <c r="C331" s="1" t="s">
        <v>1166</v>
      </c>
      <c r="D331" s="1" t="s">
        <v>1167</v>
      </c>
      <c r="F331" s="3">
        <f>IFERROR(__xludf.DUMMYFUNCTION("INT((DATE(INDEX(SPLIT(B331,""/| |:""),3), INDEX(SPLIT(B331,""/| |:""),2), INDEX(SPLIT(B331,""/| |:""),1)) + TIME(INDEX(SPLIT(B331,""/| |:""),4), INDEX(SPLIT(B331,""/| |:""),5), INDEX(SPLIT(B331,""/| |:""),6)) - DATE(1970,1,1)) * 86400)"),1.709240815E9)</f>
        <v>1709240815</v>
      </c>
      <c r="G331" s="3">
        <f>IFERROR(__xludf.DUMMYFUNCTION("INT((DATE(INDEX(SPLIT(C331,""/| |:""),3), INDEX(SPLIT(C331,""/| |:""),2), INDEX(SPLIT(C331,""/| |:""),1)) + TIME(INDEX(SPLIT(C331,""/| |:""),4), INDEX(SPLIT(C331,""/| |:""),5), INDEX(SPLIT(C331,""/| |:""),6)) - DATE(1970,1,1)) * 86400)"),1.713128815E9)</f>
        <v>1713128815</v>
      </c>
    </row>
    <row r="332">
      <c r="A332" s="1" t="s">
        <v>6</v>
      </c>
      <c r="B332" s="5" t="s">
        <v>1168</v>
      </c>
      <c r="C332" s="1" t="s">
        <v>1169</v>
      </c>
      <c r="D332" s="1" t="s">
        <v>1167</v>
      </c>
      <c r="F332" s="3">
        <f>IFERROR(__xludf.DUMMYFUNCTION("INT((DATE(INDEX(SPLIT(B332,""/| |:""),3), INDEX(SPLIT(B332,""/| |:""),2), INDEX(SPLIT(B332,""/| |:""),1)) + TIME(INDEX(SPLIT(B332,""/| |:""),4), INDEX(SPLIT(B332,""/| |:""),5), INDEX(SPLIT(B332,""/| |:""),6)) - DATE(1970,1,1)) * 86400)"),1.709240848E9)</f>
        <v>1709240848</v>
      </c>
      <c r="G332" s="3">
        <f>IFERROR(__xludf.DUMMYFUNCTION("INT((DATE(INDEX(SPLIT(C332,""/| |:""),3), INDEX(SPLIT(C332,""/| |:""),2), INDEX(SPLIT(C332,""/| |:""),1)) + TIME(INDEX(SPLIT(C332,""/| |:""),4), INDEX(SPLIT(C332,""/| |:""),5), INDEX(SPLIT(C332,""/| |:""),6)) - DATE(1970,1,1)) * 86400)"),1.713128848E9)</f>
        <v>1713128848</v>
      </c>
    </row>
    <row r="333">
      <c r="A333" s="1" t="s">
        <v>410</v>
      </c>
      <c r="B333" s="5" t="s">
        <v>1170</v>
      </c>
      <c r="C333" s="1" t="s">
        <v>1171</v>
      </c>
      <c r="D333" s="1" t="s">
        <v>1172</v>
      </c>
      <c r="F333" s="3">
        <f>IFERROR(__xludf.DUMMYFUNCTION("INT((DATE(INDEX(SPLIT(B333,""/| |:""),3), INDEX(SPLIT(B333,""/| |:""),2), INDEX(SPLIT(B333,""/| |:""),1)) + TIME(INDEX(SPLIT(B333,""/| |:""),4), INDEX(SPLIT(B333,""/| |:""),5), INDEX(SPLIT(B333,""/| |:""),6)) - DATE(1970,1,1)) * 86400)"),1.70924257E9)</f>
        <v>1709242570</v>
      </c>
      <c r="G333" s="3">
        <f>IFERROR(__xludf.DUMMYFUNCTION("INT((DATE(INDEX(SPLIT(C333,""/| |:""),3), INDEX(SPLIT(C333,""/| |:""),2), INDEX(SPLIT(C333,""/| |:""),1)) + TIME(INDEX(SPLIT(C333,""/| |:""),4), INDEX(SPLIT(C333,""/| |:""),5), INDEX(SPLIT(C333,""/| |:""),6)) - DATE(1970,1,1)) * 86400)"),1.71313057E9)</f>
        <v>1713130570</v>
      </c>
    </row>
    <row r="334">
      <c r="A334" s="1" t="s">
        <v>409</v>
      </c>
      <c r="B334" s="5" t="s">
        <v>1173</v>
      </c>
      <c r="C334" s="1" t="s">
        <v>1174</v>
      </c>
      <c r="D334" s="1" t="s">
        <v>1175</v>
      </c>
      <c r="F334" s="3">
        <f>IFERROR(__xludf.DUMMYFUNCTION("INT((DATE(INDEX(SPLIT(B334,""/| |:""),3), INDEX(SPLIT(B334,""/| |:""),2), INDEX(SPLIT(B334,""/| |:""),1)) + TIME(INDEX(SPLIT(B334,""/| |:""),4), INDEX(SPLIT(B334,""/| |:""),5), INDEX(SPLIT(B334,""/| |:""),6)) - DATE(1970,1,1)) * 86400)"),1.709242846E9)</f>
        <v>1709242846</v>
      </c>
      <c r="G334" s="3">
        <f>IFERROR(__xludf.DUMMYFUNCTION("INT((DATE(INDEX(SPLIT(C334,""/| |:""),3), INDEX(SPLIT(C334,""/| |:""),2), INDEX(SPLIT(C334,""/| |:""),1)) + TIME(INDEX(SPLIT(C334,""/| |:""),4), INDEX(SPLIT(C334,""/| |:""),5), INDEX(SPLIT(C334,""/| |:""),6)) - DATE(1970,1,1)) * 86400)"),1.713130846E9)</f>
        <v>1713130846</v>
      </c>
    </row>
    <row r="335">
      <c r="A335" s="1" t="s">
        <v>64</v>
      </c>
      <c r="B335" s="5" t="s">
        <v>1176</v>
      </c>
      <c r="C335" s="1" t="s">
        <v>1177</v>
      </c>
      <c r="D335" s="1" t="s">
        <v>1178</v>
      </c>
      <c r="F335" s="3">
        <f>IFERROR(__xludf.DUMMYFUNCTION("INT((DATE(INDEX(SPLIT(B335,""/| |:""),3), INDEX(SPLIT(B335,""/| |:""),2), INDEX(SPLIT(B335,""/| |:""),1)) + TIME(INDEX(SPLIT(B335,""/| |:""),4), INDEX(SPLIT(B335,""/| |:""),5), INDEX(SPLIT(B335,""/| |:""),6)) - DATE(1970,1,1)) * 86400)"),1.709243021E9)</f>
        <v>1709243021</v>
      </c>
      <c r="G335" s="3">
        <f>IFERROR(__xludf.DUMMYFUNCTION("INT((DATE(INDEX(SPLIT(C335,""/| |:""),3), INDEX(SPLIT(C335,""/| |:""),2), INDEX(SPLIT(C335,""/| |:""),1)) + TIME(INDEX(SPLIT(C335,""/| |:""),4), INDEX(SPLIT(C335,""/| |:""),5), INDEX(SPLIT(C335,""/| |:""),6)) - DATE(1970,1,1)) * 86400)"),1.713131021E9)</f>
        <v>1713131021</v>
      </c>
    </row>
    <row r="336">
      <c r="A336" s="1" t="s">
        <v>46</v>
      </c>
      <c r="B336" s="5" t="s">
        <v>1179</v>
      </c>
      <c r="C336" s="1" t="s">
        <v>1180</v>
      </c>
      <c r="D336" s="1" t="s">
        <v>1181</v>
      </c>
      <c r="F336" s="3">
        <f>IFERROR(__xludf.DUMMYFUNCTION("INT((DATE(INDEX(SPLIT(B336,""/| |:""),3), INDEX(SPLIT(B336,""/| |:""),2), INDEX(SPLIT(B336,""/| |:""),1)) + TIME(INDEX(SPLIT(B336,""/| |:""),4), INDEX(SPLIT(B336,""/| |:""),5), INDEX(SPLIT(B336,""/| |:""),6)) - DATE(1970,1,1)) * 86400)"),1.709243255E9)</f>
        <v>1709243255</v>
      </c>
      <c r="G336" s="3">
        <f>IFERROR(__xludf.DUMMYFUNCTION("INT((DATE(INDEX(SPLIT(C336,""/| |:""),3), INDEX(SPLIT(C336,""/| |:""),2), INDEX(SPLIT(C336,""/| |:""),1)) + TIME(INDEX(SPLIT(C336,""/| |:""),4), INDEX(SPLIT(C336,""/| |:""),5), INDEX(SPLIT(C336,""/| |:""),6)) - DATE(1970,1,1)) * 86400)"),1.713131255E9)</f>
        <v>1713131255</v>
      </c>
    </row>
    <row r="337">
      <c r="A337" s="1" t="s">
        <v>408</v>
      </c>
      <c r="B337" s="5" t="s">
        <v>1182</v>
      </c>
      <c r="C337" s="1" t="s">
        <v>1183</v>
      </c>
      <c r="D337" s="1" t="s">
        <v>1184</v>
      </c>
      <c r="F337" s="3">
        <f>IFERROR(__xludf.DUMMYFUNCTION("INT((DATE(INDEX(SPLIT(B337,""/| |:""),3), INDEX(SPLIT(B337,""/| |:""),2), INDEX(SPLIT(B337,""/| |:""),1)) + TIME(INDEX(SPLIT(B337,""/| |:""),4), INDEX(SPLIT(B337,""/| |:""),5), INDEX(SPLIT(B337,""/| |:""),6)) - DATE(1970,1,1)) * 86400)"),1.709243415E9)</f>
        <v>1709243415</v>
      </c>
      <c r="G337" s="3">
        <f>IFERROR(__xludf.DUMMYFUNCTION("INT((DATE(INDEX(SPLIT(C337,""/| |:""),3), INDEX(SPLIT(C337,""/| |:""),2), INDEX(SPLIT(C337,""/| |:""),1)) + TIME(INDEX(SPLIT(C337,""/| |:""),4), INDEX(SPLIT(C337,""/| |:""),5), INDEX(SPLIT(C337,""/| |:""),6)) - DATE(1970,1,1)) * 86400)"),1.713131415E9)</f>
        <v>1713131415</v>
      </c>
    </row>
    <row r="338">
      <c r="A338" s="1" t="s">
        <v>119</v>
      </c>
      <c r="B338" s="5" t="s">
        <v>1185</v>
      </c>
      <c r="C338" s="1" t="s">
        <v>1186</v>
      </c>
      <c r="D338" s="1" t="s">
        <v>1184</v>
      </c>
      <c r="F338" s="3">
        <f>IFERROR(__xludf.DUMMYFUNCTION("INT((DATE(INDEX(SPLIT(B338,""/| |:""),3), INDEX(SPLIT(B338,""/| |:""),2), INDEX(SPLIT(B338,""/| |:""),1)) + TIME(INDEX(SPLIT(B338,""/| |:""),4), INDEX(SPLIT(B338,""/| |:""),5), INDEX(SPLIT(B338,""/| |:""),6)) - DATE(1970,1,1)) * 86400)"),1.709243457E9)</f>
        <v>1709243457</v>
      </c>
      <c r="G338" s="3">
        <f>IFERROR(__xludf.DUMMYFUNCTION("INT((DATE(INDEX(SPLIT(C338,""/| |:""),3), INDEX(SPLIT(C338,""/| |:""),2), INDEX(SPLIT(C338,""/| |:""),1)) + TIME(INDEX(SPLIT(C338,""/| |:""),4), INDEX(SPLIT(C338,""/| |:""),5), INDEX(SPLIT(C338,""/| |:""),6)) - DATE(1970,1,1)) * 86400)"),1.713131457E9)</f>
        <v>1713131457</v>
      </c>
    </row>
    <row r="339">
      <c r="A339" s="1" t="s">
        <v>135</v>
      </c>
      <c r="B339" s="5" t="s">
        <v>1187</v>
      </c>
      <c r="C339" s="1" t="s">
        <v>1188</v>
      </c>
      <c r="D339" s="1" t="s">
        <v>1189</v>
      </c>
      <c r="F339" s="3">
        <f>IFERROR(__xludf.DUMMYFUNCTION("INT((DATE(INDEX(SPLIT(B339,""/| |:""),3), INDEX(SPLIT(B339,""/| |:""),2), INDEX(SPLIT(B339,""/| |:""),1)) + TIME(INDEX(SPLIT(B339,""/| |:""),4), INDEX(SPLIT(B339,""/| |:""),5), INDEX(SPLIT(B339,""/| |:""),6)) - DATE(1970,1,1)) * 86400)"),1.709243677E9)</f>
        <v>1709243677</v>
      </c>
      <c r="G339" s="3">
        <f>IFERROR(__xludf.DUMMYFUNCTION("INT((DATE(INDEX(SPLIT(C339,""/| |:""),3), INDEX(SPLIT(C339,""/| |:""),2), INDEX(SPLIT(C339,""/| |:""),1)) + TIME(INDEX(SPLIT(C339,""/| |:""),4), INDEX(SPLIT(C339,""/| |:""),5), INDEX(SPLIT(C339,""/| |:""),6)) - DATE(1970,1,1)) * 86400)"),1.713131677E9)</f>
        <v>1713131677</v>
      </c>
    </row>
    <row r="340">
      <c r="A340" s="1" t="s">
        <v>135</v>
      </c>
      <c r="B340" s="5" t="s">
        <v>1190</v>
      </c>
      <c r="C340" s="1" t="s">
        <v>1191</v>
      </c>
      <c r="D340" s="1" t="s">
        <v>1192</v>
      </c>
      <c r="F340" s="3">
        <f>IFERROR(__xludf.DUMMYFUNCTION("INT((DATE(INDEX(SPLIT(B340,""/| |:""),3), INDEX(SPLIT(B340,""/| |:""),2), INDEX(SPLIT(B340,""/| |:""),1)) + TIME(INDEX(SPLIT(B340,""/| |:""),4), INDEX(SPLIT(B340,""/| |:""),5), INDEX(SPLIT(B340,""/| |:""),6)) - DATE(1970,1,1)) * 86400)"),1.709245253E9)</f>
        <v>1709245253</v>
      </c>
      <c r="G340" s="3">
        <f>IFERROR(__xludf.DUMMYFUNCTION("INT((DATE(INDEX(SPLIT(C340,""/| |:""),3), INDEX(SPLIT(C340,""/| |:""),2), INDEX(SPLIT(C340,""/| |:""),1)) + TIME(INDEX(SPLIT(C340,""/| |:""),4), INDEX(SPLIT(C340,""/| |:""),5), INDEX(SPLIT(C340,""/| |:""),6)) - DATE(1970,1,1)) * 86400)"),1.713133253E9)</f>
        <v>1713133253</v>
      </c>
    </row>
    <row r="341">
      <c r="A341" s="1" t="s">
        <v>6</v>
      </c>
      <c r="B341" s="5" t="s">
        <v>1193</v>
      </c>
      <c r="C341" s="1" t="s">
        <v>1194</v>
      </c>
      <c r="D341" s="1" t="s">
        <v>1195</v>
      </c>
      <c r="F341" s="3">
        <f>IFERROR(__xludf.DUMMYFUNCTION("INT((DATE(INDEX(SPLIT(B341,""/| |:""),3), INDEX(SPLIT(B341,""/| |:""),2), INDEX(SPLIT(B341,""/| |:""),1)) + TIME(INDEX(SPLIT(B341,""/| |:""),4), INDEX(SPLIT(B341,""/| |:""),5), INDEX(SPLIT(B341,""/| |:""),6)) - DATE(1970,1,1)) * 86400)"),1.709245887E9)</f>
        <v>1709245887</v>
      </c>
      <c r="G341" s="3">
        <f>IFERROR(__xludf.DUMMYFUNCTION("INT((DATE(INDEX(SPLIT(C341,""/| |:""),3), INDEX(SPLIT(C341,""/| |:""),2), INDEX(SPLIT(C341,""/| |:""),1)) + TIME(INDEX(SPLIT(C341,""/| |:""),4), INDEX(SPLIT(C341,""/| |:""),5), INDEX(SPLIT(C341,""/| |:""),6)) - DATE(1970,1,1)) * 86400)"),1.713133887E9)</f>
        <v>1713133887</v>
      </c>
    </row>
    <row r="342">
      <c r="A342" s="1" t="s">
        <v>407</v>
      </c>
      <c r="B342" s="5" t="s">
        <v>1196</v>
      </c>
      <c r="C342" s="1" t="s">
        <v>1197</v>
      </c>
      <c r="D342" s="1" t="s">
        <v>1198</v>
      </c>
      <c r="F342" s="3">
        <f>IFERROR(__xludf.DUMMYFUNCTION("INT((DATE(INDEX(SPLIT(B342,""/| |:""),3), INDEX(SPLIT(B342,""/| |:""),2), INDEX(SPLIT(B342,""/| |:""),1)) + TIME(INDEX(SPLIT(B342,""/| |:""),4), INDEX(SPLIT(B342,""/| |:""),5), INDEX(SPLIT(B342,""/| |:""),6)) - DATE(1970,1,1)) * 86400)"),1.709246574E9)</f>
        <v>1709246574</v>
      </c>
      <c r="G342" s="3">
        <f>IFERROR(__xludf.DUMMYFUNCTION("INT((DATE(INDEX(SPLIT(C342,""/| |:""),3), INDEX(SPLIT(C342,""/| |:""),2), INDEX(SPLIT(C342,""/| |:""),1)) + TIME(INDEX(SPLIT(C342,""/| |:""),4), INDEX(SPLIT(C342,""/| |:""),5), INDEX(SPLIT(C342,""/| |:""),6)) - DATE(1970,1,1)) * 86400)"),1.713134574E9)</f>
        <v>1713134574</v>
      </c>
    </row>
    <row r="343">
      <c r="A343" s="1" t="s">
        <v>406</v>
      </c>
      <c r="B343" s="5" t="s">
        <v>1199</v>
      </c>
      <c r="C343" s="1" t="s">
        <v>1200</v>
      </c>
      <c r="D343" s="1" t="s">
        <v>1201</v>
      </c>
      <c r="F343" s="3">
        <f>IFERROR(__xludf.DUMMYFUNCTION("INT((DATE(INDEX(SPLIT(B343,""/| |:""),3), INDEX(SPLIT(B343,""/| |:""),2), INDEX(SPLIT(B343,""/| |:""),1)) + TIME(INDEX(SPLIT(B343,""/| |:""),4), INDEX(SPLIT(B343,""/| |:""),5), INDEX(SPLIT(B343,""/| |:""),6)) - DATE(1970,1,1)) * 86400)"),1.709248276E9)</f>
        <v>1709248276</v>
      </c>
      <c r="G343" s="3">
        <f>IFERROR(__xludf.DUMMYFUNCTION("INT((DATE(INDEX(SPLIT(C343,""/| |:""),3), INDEX(SPLIT(C343,""/| |:""),2), INDEX(SPLIT(C343,""/| |:""),1)) + TIME(INDEX(SPLIT(C343,""/| |:""),4), INDEX(SPLIT(C343,""/| |:""),5), INDEX(SPLIT(C343,""/| |:""),6)) - DATE(1970,1,1)) * 86400)"),1.713136276E9)</f>
        <v>1713136276</v>
      </c>
    </row>
    <row r="344">
      <c r="A344" s="1" t="s">
        <v>405</v>
      </c>
      <c r="B344" s="5">
        <v>45294.229791666665</v>
      </c>
      <c r="C344" s="1" t="s">
        <v>1202</v>
      </c>
      <c r="D344" s="1" t="s">
        <v>1203</v>
      </c>
      <c r="F344" s="3">
        <f>IFERROR(__xludf.DUMMYFUNCTION("INT((DATE(INDEX(SPLIT(B344,""/| |:""),3), INDEX(SPLIT(B344,""/| |:""),2), INDEX(SPLIT(B344,""/| |:""),1)) + TIME(INDEX(SPLIT(B344,""/| |:""),4), INDEX(SPLIT(B344,""/| |:""),5), INDEX(SPLIT(B344,""/| |:""),6)) - DATE(1970,1,1)) * 86400)"),1.709271054E9)</f>
        <v>1709271054</v>
      </c>
      <c r="G344" s="3">
        <f>IFERROR(__xludf.DUMMYFUNCTION("INT((DATE(INDEX(SPLIT(C344,""/| |:""),3), INDEX(SPLIT(C344,""/| |:""),2), INDEX(SPLIT(C344,""/| |:""),1)) + TIME(INDEX(SPLIT(C344,""/| |:""),4), INDEX(SPLIT(C344,""/| |:""),5), INDEX(SPLIT(C344,""/| |:""),6)) - DATE(1970,1,1)) * 86400)"),1.713159054E9)</f>
        <v>1713159054</v>
      </c>
    </row>
    <row r="345">
      <c r="A345" s="1" t="s">
        <v>404</v>
      </c>
      <c r="B345" s="5">
        <v>45294.32628472222</v>
      </c>
      <c r="C345" s="1" t="s">
        <v>1204</v>
      </c>
      <c r="D345" s="1" t="s">
        <v>1205</v>
      </c>
      <c r="F345" s="3">
        <f>IFERROR(__xludf.DUMMYFUNCTION("INT((DATE(INDEX(SPLIT(B345,""/| |:""),3), INDEX(SPLIT(B345,""/| |:""),2), INDEX(SPLIT(B345,""/| |:""),1)) + TIME(INDEX(SPLIT(B345,""/| |:""),4), INDEX(SPLIT(B345,""/| |:""),5), INDEX(SPLIT(B345,""/| |:""),6)) - DATE(1970,1,1)) * 86400)"),1.709279391E9)</f>
        <v>1709279391</v>
      </c>
      <c r="G345" s="3">
        <f>IFERROR(__xludf.DUMMYFUNCTION("INT((DATE(INDEX(SPLIT(C345,""/| |:""),3), INDEX(SPLIT(C345,""/| |:""),2), INDEX(SPLIT(C345,""/| |:""),1)) + TIME(INDEX(SPLIT(C345,""/| |:""),4), INDEX(SPLIT(C345,""/| |:""),5), INDEX(SPLIT(C345,""/| |:""),6)) - DATE(1970,1,1)) * 86400)"),1.713167391E9)</f>
        <v>1713167391</v>
      </c>
    </row>
    <row r="346">
      <c r="A346" s="1" t="s">
        <v>403</v>
      </c>
      <c r="B346" s="5">
        <v>45294.34539351852</v>
      </c>
      <c r="C346" s="1" t="s">
        <v>1206</v>
      </c>
      <c r="D346" s="1" t="s">
        <v>1207</v>
      </c>
      <c r="F346" s="3">
        <f>IFERROR(__xludf.DUMMYFUNCTION("INT((DATE(INDEX(SPLIT(B346,""/| |:""),3), INDEX(SPLIT(B346,""/| |:""),2), INDEX(SPLIT(B346,""/| |:""),1)) + TIME(INDEX(SPLIT(B346,""/| |:""),4), INDEX(SPLIT(B346,""/| |:""),5), INDEX(SPLIT(B346,""/| |:""),6)) - DATE(1970,1,1)) * 86400)"),1.709281042E9)</f>
        <v>1709281042</v>
      </c>
      <c r="G346" s="3">
        <f>IFERROR(__xludf.DUMMYFUNCTION("INT((DATE(INDEX(SPLIT(C346,""/| |:""),3), INDEX(SPLIT(C346,""/| |:""),2), INDEX(SPLIT(C346,""/| |:""),1)) + TIME(INDEX(SPLIT(C346,""/| |:""),4), INDEX(SPLIT(C346,""/| |:""),5), INDEX(SPLIT(C346,""/| |:""),6)) - DATE(1970,1,1)) * 86400)"),1.713169042E9)</f>
        <v>1713169042</v>
      </c>
    </row>
    <row r="347">
      <c r="A347" s="1" t="s">
        <v>130</v>
      </c>
      <c r="B347" s="5">
        <v>45294.35177083333</v>
      </c>
      <c r="C347" s="1" t="s">
        <v>1208</v>
      </c>
      <c r="D347" s="1" t="s">
        <v>1209</v>
      </c>
      <c r="F347" s="3">
        <f>IFERROR(__xludf.DUMMYFUNCTION("INT((DATE(INDEX(SPLIT(B347,""/| |:""),3), INDEX(SPLIT(B347,""/| |:""),2), INDEX(SPLIT(B347,""/| |:""),1)) + TIME(INDEX(SPLIT(B347,""/| |:""),4), INDEX(SPLIT(B347,""/| |:""),5), INDEX(SPLIT(B347,""/| |:""),6)) - DATE(1970,1,1)) * 86400)"),1.709281593E9)</f>
        <v>1709281593</v>
      </c>
      <c r="G347" s="3">
        <f>IFERROR(__xludf.DUMMYFUNCTION("INT((DATE(INDEX(SPLIT(C347,""/| |:""),3), INDEX(SPLIT(C347,""/| |:""),2), INDEX(SPLIT(C347,""/| |:""),1)) + TIME(INDEX(SPLIT(C347,""/| |:""),4), INDEX(SPLIT(C347,""/| |:""),5), INDEX(SPLIT(C347,""/| |:""),6)) - DATE(1970,1,1)) * 86400)"),1.713169593E9)</f>
        <v>1713169593</v>
      </c>
    </row>
    <row r="348">
      <c r="A348" s="1" t="s">
        <v>402</v>
      </c>
      <c r="B348" s="5">
        <v>45294.353946759256</v>
      </c>
      <c r="C348" s="1" t="s">
        <v>1210</v>
      </c>
      <c r="D348" s="1" t="s">
        <v>1211</v>
      </c>
      <c r="F348" s="3">
        <f>IFERROR(__xludf.DUMMYFUNCTION("INT((DATE(INDEX(SPLIT(B348,""/| |:""),3), INDEX(SPLIT(B348,""/| |:""),2), INDEX(SPLIT(B348,""/| |:""),1)) + TIME(INDEX(SPLIT(B348,""/| |:""),4), INDEX(SPLIT(B348,""/| |:""),5), INDEX(SPLIT(B348,""/| |:""),6)) - DATE(1970,1,1)) * 86400)"),1.709281781E9)</f>
        <v>1709281781</v>
      </c>
      <c r="G348" s="3">
        <f>IFERROR(__xludf.DUMMYFUNCTION("INT((DATE(INDEX(SPLIT(C348,""/| |:""),3), INDEX(SPLIT(C348,""/| |:""),2), INDEX(SPLIT(C348,""/| |:""),1)) + TIME(INDEX(SPLIT(C348,""/| |:""),4), INDEX(SPLIT(C348,""/| |:""),5), INDEX(SPLIT(C348,""/| |:""),6)) - DATE(1970,1,1)) * 86400)"),1.713169781E9)</f>
        <v>1713169781</v>
      </c>
    </row>
    <row r="349">
      <c r="A349" s="1" t="s">
        <v>401</v>
      </c>
      <c r="B349" s="5">
        <v>45294.36252314815</v>
      </c>
      <c r="C349" s="1" t="s">
        <v>1212</v>
      </c>
      <c r="D349" s="1" t="s">
        <v>1213</v>
      </c>
      <c r="F349" s="3">
        <f>IFERROR(__xludf.DUMMYFUNCTION("INT((DATE(INDEX(SPLIT(B349,""/| |:""),3), INDEX(SPLIT(B349,""/| |:""),2), INDEX(SPLIT(B349,""/| |:""),1)) + TIME(INDEX(SPLIT(B349,""/| |:""),4), INDEX(SPLIT(B349,""/| |:""),5), INDEX(SPLIT(B349,""/| |:""),6)) - DATE(1970,1,1)) * 86400)"),1.709282522E9)</f>
        <v>1709282522</v>
      </c>
      <c r="G349" s="3">
        <f>IFERROR(__xludf.DUMMYFUNCTION("INT((DATE(INDEX(SPLIT(C349,""/| |:""),3), INDEX(SPLIT(C349,""/| |:""),2), INDEX(SPLIT(C349,""/| |:""),1)) + TIME(INDEX(SPLIT(C349,""/| |:""),4), INDEX(SPLIT(C349,""/| |:""),5), INDEX(SPLIT(C349,""/| |:""),6)) - DATE(1970,1,1)) * 86400)"),1.713170522E9)</f>
        <v>1713170522</v>
      </c>
    </row>
    <row r="350">
      <c r="A350" s="1" t="s">
        <v>400</v>
      </c>
      <c r="B350" s="5">
        <v>45294.43461805556</v>
      </c>
      <c r="C350" s="1" t="s">
        <v>1214</v>
      </c>
      <c r="D350" s="1" t="s">
        <v>1215</v>
      </c>
      <c r="F350" s="3">
        <f>IFERROR(__xludf.DUMMYFUNCTION("INT((DATE(INDEX(SPLIT(B350,""/| |:""),3), INDEX(SPLIT(B350,""/| |:""),2), INDEX(SPLIT(B350,""/| |:""),1)) + TIME(INDEX(SPLIT(B350,""/| |:""),4), INDEX(SPLIT(B350,""/| |:""),5), INDEX(SPLIT(B350,""/| |:""),6)) - DATE(1970,1,1)) * 86400)"),1.709288751E9)</f>
        <v>1709288751</v>
      </c>
      <c r="G350" s="3">
        <f>IFERROR(__xludf.DUMMYFUNCTION("INT((DATE(INDEX(SPLIT(C350,""/| |:""),3), INDEX(SPLIT(C350,""/| |:""),2), INDEX(SPLIT(C350,""/| |:""),1)) + TIME(INDEX(SPLIT(C350,""/| |:""),4), INDEX(SPLIT(C350,""/| |:""),5), INDEX(SPLIT(C350,""/| |:""),6)) - DATE(1970,1,1)) * 86400)"),1.713176751E9)</f>
        <v>1713176751</v>
      </c>
    </row>
    <row r="351">
      <c r="A351" s="1" t="s">
        <v>399</v>
      </c>
      <c r="B351" s="5">
        <v>45294.44354166667</v>
      </c>
      <c r="C351" s="1" t="s">
        <v>1216</v>
      </c>
      <c r="D351" s="1" t="s">
        <v>1217</v>
      </c>
      <c r="F351" s="3">
        <f>IFERROR(__xludf.DUMMYFUNCTION("INT((DATE(INDEX(SPLIT(B351,""/| |:""),3), INDEX(SPLIT(B351,""/| |:""),2), INDEX(SPLIT(B351,""/| |:""),1)) + TIME(INDEX(SPLIT(B351,""/| |:""),4), INDEX(SPLIT(B351,""/| |:""),5), INDEX(SPLIT(B351,""/| |:""),6)) - DATE(1970,1,1)) * 86400)"),1.709289522E9)</f>
        <v>1709289522</v>
      </c>
      <c r="G351" s="3">
        <f>IFERROR(__xludf.DUMMYFUNCTION("INT((DATE(INDEX(SPLIT(C351,""/| |:""),3), INDEX(SPLIT(C351,""/| |:""),2), INDEX(SPLIT(C351,""/| |:""),1)) + TIME(INDEX(SPLIT(C351,""/| |:""),4), INDEX(SPLIT(C351,""/| |:""),5), INDEX(SPLIT(C351,""/| |:""),6)) - DATE(1970,1,1)) * 86400)"),1.713177522E9)</f>
        <v>1713177522</v>
      </c>
    </row>
    <row r="352">
      <c r="A352" s="1" t="s">
        <v>398</v>
      </c>
      <c r="B352" s="5">
        <v>45294.46600694444</v>
      </c>
      <c r="C352" s="1" t="s">
        <v>1218</v>
      </c>
      <c r="D352" s="1" t="s">
        <v>1219</v>
      </c>
      <c r="F352" s="3">
        <f>IFERROR(__xludf.DUMMYFUNCTION("INT((DATE(INDEX(SPLIT(B352,""/| |:""),3), INDEX(SPLIT(B352,""/| |:""),2), INDEX(SPLIT(B352,""/| |:""),1)) + TIME(INDEX(SPLIT(B352,""/| |:""),4), INDEX(SPLIT(B352,""/| |:""),5), INDEX(SPLIT(B352,""/| |:""),6)) - DATE(1970,1,1)) * 86400)"),1.709291463E9)</f>
        <v>1709291463</v>
      </c>
      <c r="G352" s="3">
        <f>IFERROR(__xludf.DUMMYFUNCTION("INT((DATE(INDEX(SPLIT(C352,""/| |:""),3), INDEX(SPLIT(C352,""/| |:""),2), INDEX(SPLIT(C352,""/| |:""),1)) + TIME(INDEX(SPLIT(C352,""/| |:""),4), INDEX(SPLIT(C352,""/| |:""),5), INDEX(SPLIT(C352,""/| |:""),6)) - DATE(1970,1,1)) * 86400)"),1.713179463E9)</f>
        <v>1713179463</v>
      </c>
    </row>
    <row r="353">
      <c r="A353" s="1" t="s">
        <v>397</v>
      </c>
      <c r="B353" s="5">
        <v>45294.51583333333</v>
      </c>
      <c r="C353" s="1" t="s">
        <v>1220</v>
      </c>
      <c r="D353" s="1" t="s">
        <v>1221</v>
      </c>
      <c r="F353" s="3">
        <f>IFERROR(__xludf.DUMMYFUNCTION("INT((DATE(INDEX(SPLIT(B353,""/| |:""),3), INDEX(SPLIT(B353,""/| |:""),2), INDEX(SPLIT(B353,""/| |:""),1)) + TIME(INDEX(SPLIT(B353,""/| |:""),4), INDEX(SPLIT(B353,""/| |:""),5), INDEX(SPLIT(B353,""/| |:""),6)) - DATE(1970,1,1)) * 86400)"),1.709295768E9)</f>
        <v>1709295768</v>
      </c>
      <c r="G353" s="3">
        <f>IFERROR(__xludf.DUMMYFUNCTION("INT((DATE(INDEX(SPLIT(C353,""/| |:""),3), INDEX(SPLIT(C353,""/| |:""),2), INDEX(SPLIT(C353,""/| |:""),1)) + TIME(INDEX(SPLIT(C353,""/| |:""),4), INDEX(SPLIT(C353,""/| |:""),5), INDEX(SPLIT(C353,""/| |:""),6)) - DATE(1970,1,1)) * 86400)"),1.713183768E9)</f>
        <v>1713183768</v>
      </c>
    </row>
    <row r="354">
      <c r="A354" s="1" t="s">
        <v>122</v>
      </c>
      <c r="B354" s="5">
        <v>45294.53498842593</v>
      </c>
      <c r="C354" s="1" t="s">
        <v>1222</v>
      </c>
      <c r="D354" s="1" t="s">
        <v>1223</v>
      </c>
      <c r="F354" s="3">
        <f>IFERROR(__xludf.DUMMYFUNCTION("INT((DATE(INDEX(SPLIT(B354,""/| |:""),3), INDEX(SPLIT(B354,""/| |:""),2), INDEX(SPLIT(B354,""/| |:""),1)) + TIME(INDEX(SPLIT(B354,""/| |:""),4), INDEX(SPLIT(B354,""/| |:""),5), INDEX(SPLIT(B354,""/| |:""),6)) - DATE(1970,1,1)) * 86400)"),1.709297423E9)</f>
        <v>1709297423</v>
      </c>
      <c r="G354" s="3">
        <f>IFERROR(__xludf.DUMMYFUNCTION("INT((DATE(INDEX(SPLIT(C354,""/| |:""),3), INDEX(SPLIT(C354,""/| |:""),2), INDEX(SPLIT(C354,""/| |:""),1)) + TIME(INDEX(SPLIT(C354,""/| |:""),4), INDEX(SPLIT(C354,""/| |:""),5), INDEX(SPLIT(C354,""/| |:""),6)) - DATE(1970,1,1)) * 86400)"),1.713185423E9)</f>
        <v>1713185423</v>
      </c>
    </row>
    <row r="355">
      <c r="A355" s="1" t="s">
        <v>396</v>
      </c>
      <c r="B355" s="5">
        <v>45294.53758101852</v>
      </c>
      <c r="C355" s="1" t="s">
        <v>1224</v>
      </c>
      <c r="D355" s="1" t="s">
        <v>1225</v>
      </c>
      <c r="F355" s="3">
        <f>IFERROR(__xludf.DUMMYFUNCTION("INT((DATE(INDEX(SPLIT(B355,""/| |:""),3), INDEX(SPLIT(B355,""/| |:""),2), INDEX(SPLIT(B355,""/| |:""),1)) + TIME(INDEX(SPLIT(B355,""/| |:""),4), INDEX(SPLIT(B355,""/| |:""),5), INDEX(SPLIT(B355,""/| |:""),6)) - DATE(1970,1,1)) * 86400)"),1.709297647E9)</f>
        <v>1709297647</v>
      </c>
      <c r="G355" s="3">
        <f>IFERROR(__xludf.DUMMYFUNCTION("INT((DATE(INDEX(SPLIT(C355,""/| |:""),3), INDEX(SPLIT(C355,""/| |:""),2), INDEX(SPLIT(C355,""/| |:""),1)) + TIME(INDEX(SPLIT(C355,""/| |:""),4), INDEX(SPLIT(C355,""/| |:""),5), INDEX(SPLIT(C355,""/| |:""),6)) - DATE(1970,1,1)) * 86400)"),1.713185647E9)</f>
        <v>1713185647</v>
      </c>
    </row>
    <row r="356">
      <c r="A356" s="1" t="s">
        <v>141</v>
      </c>
      <c r="B356" s="5">
        <v>45294.555243055554</v>
      </c>
      <c r="C356" s="1" t="s">
        <v>1226</v>
      </c>
      <c r="D356" s="1" t="s">
        <v>1227</v>
      </c>
      <c r="F356" s="3">
        <f>IFERROR(__xludf.DUMMYFUNCTION("INT((DATE(INDEX(SPLIT(B356,""/| |:""),3), INDEX(SPLIT(B356,""/| |:""),2), INDEX(SPLIT(B356,""/| |:""),1)) + TIME(INDEX(SPLIT(B356,""/| |:""),4), INDEX(SPLIT(B356,""/| |:""),5), INDEX(SPLIT(B356,""/| |:""),6)) - DATE(1970,1,1)) * 86400)"),1.709299173E9)</f>
        <v>1709299173</v>
      </c>
      <c r="G356" s="3">
        <f>IFERROR(__xludf.DUMMYFUNCTION("INT((DATE(INDEX(SPLIT(C356,""/| |:""),3), INDEX(SPLIT(C356,""/| |:""),2), INDEX(SPLIT(C356,""/| |:""),1)) + TIME(INDEX(SPLIT(C356,""/| |:""),4), INDEX(SPLIT(C356,""/| |:""),5), INDEX(SPLIT(C356,""/| |:""),6)) - DATE(1970,1,1)) * 86400)"),1.713187173E9)</f>
        <v>1713187173</v>
      </c>
    </row>
    <row r="357">
      <c r="A357" s="1" t="s">
        <v>395</v>
      </c>
      <c r="B357" s="5">
        <v>45294.577673611115</v>
      </c>
      <c r="C357" s="1" t="s">
        <v>1228</v>
      </c>
      <c r="D357" s="1" t="s">
        <v>1229</v>
      </c>
      <c r="F357" s="3">
        <f>IFERROR(__xludf.DUMMYFUNCTION("INT((DATE(INDEX(SPLIT(B357,""/| |:""),3), INDEX(SPLIT(B357,""/| |:""),2), INDEX(SPLIT(B357,""/| |:""),1)) + TIME(INDEX(SPLIT(B357,""/| |:""),4), INDEX(SPLIT(B357,""/| |:""),5), INDEX(SPLIT(B357,""/| |:""),6)) - DATE(1970,1,1)) * 86400)"),1.709301111E9)</f>
        <v>1709301111</v>
      </c>
      <c r="G357" s="3">
        <f>IFERROR(__xludf.DUMMYFUNCTION("INT((DATE(INDEX(SPLIT(C357,""/| |:""),3), INDEX(SPLIT(C357,""/| |:""),2), INDEX(SPLIT(C357,""/| |:""),1)) + TIME(INDEX(SPLIT(C357,""/| |:""),4), INDEX(SPLIT(C357,""/| |:""),5), INDEX(SPLIT(C357,""/| |:""),6)) - DATE(1970,1,1)) * 86400)"),1.713189111E9)</f>
        <v>1713189111</v>
      </c>
    </row>
    <row r="358">
      <c r="A358" s="1" t="s">
        <v>394</v>
      </c>
      <c r="B358" s="5">
        <v>45294.62230324074</v>
      </c>
      <c r="C358" s="1" t="s">
        <v>1230</v>
      </c>
      <c r="D358" s="1" t="s">
        <v>1231</v>
      </c>
      <c r="F358" s="3">
        <f>IFERROR(__xludf.DUMMYFUNCTION("INT((DATE(INDEX(SPLIT(B358,""/| |:""),3), INDEX(SPLIT(B358,""/| |:""),2), INDEX(SPLIT(B358,""/| |:""),1)) + TIME(INDEX(SPLIT(B358,""/| |:""),4), INDEX(SPLIT(B358,""/| |:""),5), INDEX(SPLIT(B358,""/| |:""),6)) - DATE(1970,1,1)) * 86400)"),1.709304967E9)</f>
        <v>1709304967</v>
      </c>
      <c r="G358" s="3">
        <f>IFERROR(__xludf.DUMMYFUNCTION("INT((DATE(INDEX(SPLIT(C358,""/| |:""),3), INDEX(SPLIT(C358,""/| |:""),2), INDEX(SPLIT(C358,""/| |:""),1)) + TIME(INDEX(SPLIT(C358,""/| |:""),4), INDEX(SPLIT(C358,""/| |:""),5), INDEX(SPLIT(C358,""/| |:""),6)) - DATE(1970,1,1)) * 86400)"),1.713192967E9)</f>
        <v>1713192967</v>
      </c>
    </row>
    <row r="359">
      <c r="A359" s="1" t="s">
        <v>135</v>
      </c>
      <c r="B359" s="5">
        <v>45294.62832175926</v>
      </c>
      <c r="C359" s="1" t="s">
        <v>1232</v>
      </c>
      <c r="D359" s="1" t="s">
        <v>1233</v>
      </c>
      <c r="F359" s="3">
        <f>IFERROR(__xludf.DUMMYFUNCTION("INT((DATE(INDEX(SPLIT(B359,""/| |:""),3), INDEX(SPLIT(B359,""/| |:""),2), INDEX(SPLIT(B359,""/| |:""),1)) + TIME(INDEX(SPLIT(B359,""/| |:""),4), INDEX(SPLIT(B359,""/| |:""),5), INDEX(SPLIT(B359,""/| |:""),6)) - DATE(1970,1,1)) * 86400)"),1.709305487E9)</f>
        <v>1709305487</v>
      </c>
      <c r="G359" s="3">
        <f>IFERROR(__xludf.DUMMYFUNCTION("INT((DATE(INDEX(SPLIT(C359,""/| |:""),3), INDEX(SPLIT(C359,""/| |:""),2), INDEX(SPLIT(C359,""/| |:""),1)) + TIME(INDEX(SPLIT(C359,""/| |:""),4), INDEX(SPLIT(C359,""/| |:""),5), INDEX(SPLIT(C359,""/| |:""),6)) - DATE(1970,1,1)) * 86400)"),1.713193487E9)</f>
        <v>1713193487</v>
      </c>
    </row>
    <row r="360">
      <c r="A360" s="1" t="s">
        <v>135</v>
      </c>
      <c r="B360" s="5">
        <v>45294.65012731482</v>
      </c>
      <c r="C360" s="1" t="s">
        <v>1234</v>
      </c>
      <c r="D360" s="1" t="s">
        <v>1235</v>
      </c>
      <c r="F360" s="3">
        <f>IFERROR(__xludf.DUMMYFUNCTION("INT((DATE(INDEX(SPLIT(B360,""/| |:""),3), INDEX(SPLIT(B360,""/| |:""),2), INDEX(SPLIT(B360,""/| |:""),1)) + TIME(INDEX(SPLIT(B360,""/| |:""),4), INDEX(SPLIT(B360,""/| |:""),5), INDEX(SPLIT(B360,""/| |:""),6)) - DATE(1970,1,1)) * 86400)"),1.709307371E9)</f>
        <v>1709307371</v>
      </c>
      <c r="G360" s="3">
        <f>IFERROR(__xludf.DUMMYFUNCTION("INT((DATE(INDEX(SPLIT(C360,""/| |:""),3), INDEX(SPLIT(C360,""/| |:""),2), INDEX(SPLIT(C360,""/| |:""),1)) + TIME(INDEX(SPLIT(C360,""/| |:""),4), INDEX(SPLIT(C360,""/| |:""),5), INDEX(SPLIT(C360,""/| |:""),6)) - DATE(1970,1,1)) * 86400)"),1.713195371E9)</f>
        <v>1713195371</v>
      </c>
    </row>
    <row r="361">
      <c r="A361" s="1" t="s">
        <v>135</v>
      </c>
      <c r="B361" s="5">
        <v>45294.65207175926</v>
      </c>
      <c r="C361" s="1" t="s">
        <v>1236</v>
      </c>
      <c r="D361" s="1" t="s">
        <v>1237</v>
      </c>
      <c r="F361" s="3">
        <f>IFERROR(__xludf.DUMMYFUNCTION("INT((DATE(INDEX(SPLIT(B361,""/| |:""),3), INDEX(SPLIT(B361,""/| |:""),2), INDEX(SPLIT(B361,""/| |:""),1)) + TIME(INDEX(SPLIT(B361,""/| |:""),4), INDEX(SPLIT(B361,""/| |:""),5), INDEX(SPLIT(B361,""/| |:""),6)) - DATE(1970,1,1)) * 86400)"),1.709307539E9)</f>
        <v>1709307539</v>
      </c>
      <c r="G361" s="3">
        <f>IFERROR(__xludf.DUMMYFUNCTION("INT((DATE(INDEX(SPLIT(C361,""/| |:""),3), INDEX(SPLIT(C361,""/| |:""),2), INDEX(SPLIT(C361,""/| |:""),1)) + TIME(INDEX(SPLIT(C361,""/| |:""),4), INDEX(SPLIT(C361,""/| |:""),5), INDEX(SPLIT(C361,""/| |:""),6)) - DATE(1970,1,1)) * 86400)"),1.713195539E9)</f>
        <v>1713195539</v>
      </c>
    </row>
    <row r="362">
      <c r="A362" s="1" t="s">
        <v>135</v>
      </c>
      <c r="B362" s="5">
        <v>45294.65305555556</v>
      </c>
      <c r="C362" s="1" t="s">
        <v>1238</v>
      </c>
      <c r="D362" s="1" t="s">
        <v>1239</v>
      </c>
      <c r="F362" s="3">
        <f>IFERROR(__xludf.DUMMYFUNCTION("INT((DATE(INDEX(SPLIT(B362,""/| |:""),3), INDEX(SPLIT(B362,""/| |:""),2), INDEX(SPLIT(B362,""/| |:""),1)) + TIME(INDEX(SPLIT(B362,""/| |:""),4), INDEX(SPLIT(B362,""/| |:""),5), INDEX(SPLIT(B362,""/| |:""),6)) - DATE(1970,1,1)) * 86400)"),1.709307624E9)</f>
        <v>1709307624</v>
      </c>
      <c r="G362" s="3">
        <f>IFERROR(__xludf.DUMMYFUNCTION("INT((DATE(INDEX(SPLIT(C362,""/| |:""),3), INDEX(SPLIT(C362,""/| |:""),2), INDEX(SPLIT(C362,""/| |:""),1)) + TIME(INDEX(SPLIT(C362,""/| |:""),4), INDEX(SPLIT(C362,""/| |:""),5), INDEX(SPLIT(C362,""/| |:""),6)) - DATE(1970,1,1)) * 86400)"),1.713195624E9)</f>
        <v>1713195624</v>
      </c>
    </row>
    <row r="363">
      <c r="A363" s="1" t="s">
        <v>128</v>
      </c>
      <c r="B363" s="5">
        <v>45294.66324074074</v>
      </c>
      <c r="C363" s="1" t="s">
        <v>1240</v>
      </c>
      <c r="D363" s="1" t="s">
        <v>1241</v>
      </c>
      <c r="F363" s="3">
        <f>IFERROR(__xludf.DUMMYFUNCTION("INT((DATE(INDEX(SPLIT(B363,""/| |:""),3), INDEX(SPLIT(B363,""/| |:""),2), INDEX(SPLIT(B363,""/| |:""),1)) + TIME(INDEX(SPLIT(B363,""/| |:""),4), INDEX(SPLIT(B363,""/| |:""),5), INDEX(SPLIT(B363,""/| |:""),6)) - DATE(1970,1,1)) * 86400)"),1.709308504E9)</f>
        <v>1709308504</v>
      </c>
      <c r="G363" s="3">
        <f>IFERROR(__xludf.DUMMYFUNCTION("INT((DATE(INDEX(SPLIT(C363,""/| |:""),3), INDEX(SPLIT(C363,""/| |:""),2), INDEX(SPLIT(C363,""/| |:""),1)) + TIME(INDEX(SPLIT(C363,""/| |:""),4), INDEX(SPLIT(C363,""/| |:""),5), INDEX(SPLIT(C363,""/| |:""),6)) - DATE(1970,1,1)) * 86400)"),1.713196504E9)</f>
        <v>1713196504</v>
      </c>
    </row>
    <row r="364">
      <c r="A364" s="1" t="s">
        <v>128</v>
      </c>
      <c r="B364" s="5">
        <v>45294.66447916667</v>
      </c>
      <c r="C364" s="1" t="s">
        <v>1242</v>
      </c>
      <c r="D364" s="1" t="s">
        <v>1243</v>
      </c>
      <c r="F364" s="3">
        <f>IFERROR(__xludf.DUMMYFUNCTION("INT((DATE(INDEX(SPLIT(B364,""/| |:""),3), INDEX(SPLIT(B364,""/| |:""),2), INDEX(SPLIT(B364,""/| |:""),1)) + TIME(INDEX(SPLIT(B364,""/| |:""),4), INDEX(SPLIT(B364,""/| |:""),5), INDEX(SPLIT(B364,""/| |:""),6)) - DATE(1970,1,1)) * 86400)"),1.709308611E9)</f>
        <v>1709308611</v>
      </c>
      <c r="G364" s="3">
        <f>IFERROR(__xludf.DUMMYFUNCTION("INT((DATE(INDEX(SPLIT(C364,""/| |:""),3), INDEX(SPLIT(C364,""/| |:""),2), INDEX(SPLIT(C364,""/| |:""),1)) + TIME(INDEX(SPLIT(C364,""/| |:""),4), INDEX(SPLIT(C364,""/| |:""),5), INDEX(SPLIT(C364,""/| |:""),6)) - DATE(1970,1,1)) * 86400)"),1.713196611E9)</f>
        <v>1713196611</v>
      </c>
    </row>
    <row r="365">
      <c r="A365" s="1" t="s">
        <v>393</v>
      </c>
      <c r="B365" s="5">
        <v>45294.67009259259</v>
      </c>
      <c r="C365" s="1" t="s">
        <v>1244</v>
      </c>
      <c r="D365" s="1" t="s">
        <v>1245</v>
      </c>
      <c r="F365" s="3">
        <f>IFERROR(__xludf.DUMMYFUNCTION("INT((DATE(INDEX(SPLIT(B365,""/| |:""),3), INDEX(SPLIT(B365,""/| |:""),2), INDEX(SPLIT(B365,""/| |:""),1)) + TIME(INDEX(SPLIT(B365,""/| |:""),4), INDEX(SPLIT(B365,""/| |:""),5), INDEX(SPLIT(B365,""/| |:""),6)) - DATE(1970,1,1)) * 86400)"),1.709309096E9)</f>
        <v>1709309096</v>
      </c>
      <c r="G365" s="3">
        <f>IFERROR(__xludf.DUMMYFUNCTION("INT((DATE(INDEX(SPLIT(C365,""/| |:""),3), INDEX(SPLIT(C365,""/| |:""),2), INDEX(SPLIT(C365,""/| |:""),1)) + TIME(INDEX(SPLIT(C365,""/| |:""),4), INDEX(SPLIT(C365,""/| |:""),5), INDEX(SPLIT(C365,""/| |:""),6)) - DATE(1970,1,1)) * 86400)"),1.713197096E9)</f>
        <v>1713197096</v>
      </c>
    </row>
    <row r="366">
      <c r="A366" s="1" t="s">
        <v>392</v>
      </c>
      <c r="B366" s="5">
        <v>45294.734768518516</v>
      </c>
      <c r="C366" s="1" t="s">
        <v>1246</v>
      </c>
      <c r="D366" s="1" t="s">
        <v>1247</v>
      </c>
      <c r="F366" s="3">
        <f>IFERROR(__xludf.DUMMYFUNCTION("INT((DATE(INDEX(SPLIT(B366,""/| |:""),3), INDEX(SPLIT(B366,""/| |:""),2), INDEX(SPLIT(B366,""/| |:""),1)) + TIME(INDEX(SPLIT(B366,""/| |:""),4), INDEX(SPLIT(B366,""/| |:""),5), INDEX(SPLIT(B366,""/| |:""),6)) - DATE(1970,1,1)) * 86400)"),1.709314684E9)</f>
        <v>1709314684</v>
      </c>
      <c r="G366" s="3">
        <f>IFERROR(__xludf.DUMMYFUNCTION("INT((DATE(INDEX(SPLIT(C366,""/| |:""),3), INDEX(SPLIT(C366,""/| |:""),2), INDEX(SPLIT(C366,""/| |:""),1)) + TIME(INDEX(SPLIT(C366,""/| |:""),4), INDEX(SPLIT(C366,""/| |:""),5), INDEX(SPLIT(C366,""/| |:""),6)) - DATE(1970,1,1)) * 86400)"),1.713202684E9)</f>
        <v>1713202684</v>
      </c>
    </row>
    <row r="367">
      <c r="A367" s="1" t="s">
        <v>392</v>
      </c>
      <c r="B367" s="5">
        <v>45294.73658564815</v>
      </c>
      <c r="C367" s="1" t="s">
        <v>1248</v>
      </c>
      <c r="D367" s="1" t="s">
        <v>1249</v>
      </c>
      <c r="F367" s="3">
        <f>IFERROR(__xludf.DUMMYFUNCTION("INT((DATE(INDEX(SPLIT(B367,""/| |:""),3), INDEX(SPLIT(B367,""/| |:""),2), INDEX(SPLIT(B367,""/| |:""),1)) + TIME(INDEX(SPLIT(B367,""/| |:""),4), INDEX(SPLIT(B367,""/| |:""),5), INDEX(SPLIT(B367,""/| |:""),6)) - DATE(1970,1,1)) * 86400)"),1.709314841E9)</f>
        <v>1709314841</v>
      </c>
      <c r="G367" s="3">
        <f>IFERROR(__xludf.DUMMYFUNCTION("INT((DATE(INDEX(SPLIT(C367,""/| |:""),3), INDEX(SPLIT(C367,""/| |:""),2), INDEX(SPLIT(C367,""/| |:""),1)) + TIME(INDEX(SPLIT(C367,""/| |:""),4), INDEX(SPLIT(C367,""/| |:""),5), INDEX(SPLIT(C367,""/| |:""),6)) - DATE(1970,1,1)) * 86400)"),1.713202841E9)</f>
        <v>1713202841</v>
      </c>
    </row>
    <row r="368">
      <c r="A368" s="1" t="s">
        <v>392</v>
      </c>
      <c r="B368" s="5">
        <v>45294.738275462965</v>
      </c>
      <c r="C368" s="1" t="s">
        <v>1250</v>
      </c>
      <c r="D368" s="1" t="s">
        <v>1251</v>
      </c>
      <c r="F368" s="3">
        <f>IFERROR(__xludf.DUMMYFUNCTION("INT((DATE(INDEX(SPLIT(B368,""/| |:""),3), INDEX(SPLIT(B368,""/| |:""),2), INDEX(SPLIT(B368,""/| |:""),1)) + TIME(INDEX(SPLIT(B368,""/| |:""),4), INDEX(SPLIT(B368,""/| |:""),5), INDEX(SPLIT(B368,""/| |:""),6)) - DATE(1970,1,1)) * 86400)"),1.709314987E9)</f>
        <v>1709314987</v>
      </c>
      <c r="G368" s="3">
        <f>IFERROR(__xludf.DUMMYFUNCTION("INT((DATE(INDEX(SPLIT(C368,""/| |:""),3), INDEX(SPLIT(C368,""/| |:""),2), INDEX(SPLIT(C368,""/| |:""),1)) + TIME(INDEX(SPLIT(C368,""/| |:""),4), INDEX(SPLIT(C368,""/| |:""),5), INDEX(SPLIT(C368,""/| |:""),6)) - DATE(1970,1,1)) * 86400)"),1.713202987E9)</f>
        <v>1713202987</v>
      </c>
    </row>
    <row r="369">
      <c r="A369" s="1" t="s">
        <v>392</v>
      </c>
      <c r="B369" s="5">
        <v>45294.739537037036</v>
      </c>
      <c r="C369" s="1" t="s">
        <v>1252</v>
      </c>
      <c r="D369" s="1" t="s">
        <v>1253</v>
      </c>
      <c r="F369" s="3">
        <f>IFERROR(__xludf.DUMMYFUNCTION("INT((DATE(INDEX(SPLIT(B369,""/| |:""),3), INDEX(SPLIT(B369,""/| |:""),2), INDEX(SPLIT(B369,""/| |:""),1)) + TIME(INDEX(SPLIT(B369,""/| |:""),4), INDEX(SPLIT(B369,""/| |:""),5), INDEX(SPLIT(B369,""/| |:""),6)) - DATE(1970,1,1)) * 86400)"),1.709315096E9)</f>
        <v>1709315096</v>
      </c>
      <c r="G369" s="3">
        <f>IFERROR(__xludf.DUMMYFUNCTION("INT((DATE(INDEX(SPLIT(C369,""/| |:""),3), INDEX(SPLIT(C369,""/| |:""),2), INDEX(SPLIT(C369,""/| |:""),1)) + TIME(INDEX(SPLIT(C369,""/| |:""),4), INDEX(SPLIT(C369,""/| |:""),5), INDEX(SPLIT(C369,""/| |:""),6)) - DATE(1970,1,1)) * 86400)"),1.713203096E9)</f>
        <v>1713203096</v>
      </c>
    </row>
    <row r="370">
      <c r="A370" s="1" t="s">
        <v>127</v>
      </c>
      <c r="B370" s="5">
        <v>45294.762291666666</v>
      </c>
      <c r="C370" s="1" t="s">
        <v>1254</v>
      </c>
      <c r="D370" s="1" t="s">
        <v>1255</v>
      </c>
      <c r="F370" s="3">
        <f>IFERROR(__xludf.DUMMYFUNCTION("INT((DATE(INDEX(SPLIT(B370,""/| |:""),3), INDEX(SPLIT(B370,""/| |:""),2), INDEX(SPLIT(B370,""/| |:""),1)) + TIME(INDEX(SPLIT(B370,""/| |:""),4), INDEX(SPLIT(B370,""/| |:""),5), INDEX(SPLIT(B370,""/| |:""),6)) - DATE(1970,1,1)) * 86400)"),1.709317062E9)</f>
        <v>1709317062</v>
      </c>
      <c r="G370" s="3">
        <f>IFERROR(__xludf.DUMMYFUNCTION("INT((DATE(INDEX(SPLIT(C370,""/| |:""),3), INDEX(SPLIT(C370,""/| |:""),2), INDEX(SPLIT(C370,""/| |:""),1)) + TIME(INDEX(SPLIT(C370,""/| |:""),4), INDEX(SPLIT(C370,""/| |:""),5), INDEX(SPLIT(C370,""/| |:""),6)) - DATE(1970,1,1)) * 86400)"),1.713205062E9)</f>
        <v>1713205062</v>
      </c>
    </row>
    <row r="371">
      <c r="A371" s="1" t="s">
        <v>127</v>
      </c>
      <c r="B371" s="5">
        <v>45294.76366898148</v>
      </c>
      <c r="C371" s="1" t="s">
        <v>1256</v>
      </c>
      <c r="D371" s="1" t="s">
        <v>1257</v>
      </c>
      <c r="F371" s="3">
        <f>IFERROR(__xludf.DUMMYFUNCTION("INT((DATE(INDEX(SPLIT(B371,""/| |:""),3), INDEX(SPLIT(B371,""/| |:""),2), INDEX(SPLIT(B371,""/| |:""),1)) + TIME(INDEX(SPLIT(B371,""/| |:""),4), INDEX(SPLIT(B371,""/| |:""),5), INDEX(SPLIT(B371,""/| |:""),6)) - DATE(1970,1,1)) * 86400)"),1.709317181E9)</f>
        <v>1709317181</v>
      </c>
      <c r="G371" s="3">
        <f>IFERROR(__xludf.DUMMYFUNCTION("INT((DATE(INDEX(SPLIT(C371,""/| |:""),3), INDEX(SPLIT(C371,""/| |:""),2), INDEX(SPLIT(C371,""/| |:""),1)) + TIME(INDEX(SPLIT(C371,""/| |:""),4), INDEX(SPLIT(C371,""/| |:""),5), INDEX(SPLIT(C371,""/| |:""),6)) - DATE(1970,1,1)) * 86400)"),1.713205181E9)</f>
        <v>1713205181</v>
      </c>
    </row>
    <row r="372">
      <c r="A372" s="1" t="s">
        <v>127</v>
      </c>
      <c r="B372" s="5">
        <v>45294.76509259259</v>
      </c>
      <c r="C372" s="1" t="s">
        <v>1258</v>
      </c>
      <c r="D372" s="1" t="s">
        <v>1259</v>
      </c>
      <c r="F372" s="3">
        <f>IFERROR(__xludf.DUMMYFUNCTION("INT((DATE(INDEX(SPLIT(B372,""/| |:""),3), INDEX(SPLIT(B372,""/| |:""),2), INDEX(SPLIT(B372,""/| |:""),1)) + TIME(INDEX(SPLIT(B372,""/| |:""),4), INDEX(SPLIT(B372,""/| |:""),5), INDEX(SPLIT(B372,""/| |:""),6)) - DATE(1970,1,1)) * 86400)"),1.709317304E9)</f>
        <v>1709317304</v>
      </c>
      <c r="G372" s="3">
        <f>IFERROR(__xludf.DUMMYFUNCTION("INT((DATE(INDEX(SPLIT(C372,""/| |:""),3), INDEX(SPLIT(C372,""/| |:""),2), INDEX(SPLIT(C372,""/| |:""),1)) + TIME(INDEX(SPLIT(C372,""/| |:""),4), INDEX(SPLIT(C372,""/| |:""),5), INDEX(SPLIT(C372,""/| |:""),6)) - DATE(1970,1,1)) * 86400)"),1.713205304E9)</f>
        <v>1713205304</v>
      </c>
    </row>
    <row r="373">
      <c r="A373" s="1" t="s">
        <v>127</v>
      </c>
      <c r="B373" s="5">
        <v>45294.76640046296</v>
      </c>
      <c r="C373" s="1" t="s">
        <v>1260</v>
      </c>
      <c r="D373" s="1" t="s">
        <v>1261</v>
      </c>
      <c r="F373" s="3">
        <f>IFERROR(__xludf.DUMMYFUNCTION("INT((DATE(INDEX(SPLIT(B373,""/| |:""),3), INDEX(SPLIT(B373,""/| |:""),2), INDEX(SPLIT(B373,""/| |:""),1)) + TIME(INDEX(SPLIT(B373,""/| |:""),4), INDEX(SPLIT(B373,""/| |:""),5), INDEX(SPLIT(B373,""/| |:""),6)) - DATE(1970,1,1)) * 86400)"),1.709317417E9)</f>
        <v>1709317417</v>
      </c>
      <c r="G373" s="3">
        <f>IFERROR(__xludf.DUMMYFUNCTION("INT((DATE(INDEX(SPLIT(C373,""/| |:""),3), INDEX(SPLIT(C373,""/| |:""),2), INDEX(SPLIT(C373,""/| |:""),1)) + TIME(INDEX(SPLIT(C373,""/| |:""),4), INDEX(SPLIT(C373,""/| |:""),5), INDEX(SPLIT(C373,""/| |:""),6)) - DATE(1970,1,1)) * 86400)"),1.713205417E9)</f>
        <v>1713205417</v>
      </c>
    </row>
    <row r="374">
      <c r="A374" s="1" t="s">
        <v>127</v>
      </c>
      <c r="B374" s="5">
        <v>45294.76771990741</v>
      </c>
      <c r="C374" s="1" t="s">
        <v>1262</v>
      </c>
      <c r="D374" s="1" t="s">
        <v>1263</v>
      </c>
      <c r="F374" s="3">
        <f>IFERROR(__xludf.DUMMYFUNCTION("INT((DATE(INDEX(SPLIT(B374,""/| |:""),3), INDEX(SPLIT(B374,""/| |:""),2), INDEX(SPLIT(B374,""/| |:""),1)) + TIME(INDEX(SPLIT(B374,""/| |:""),4), INDEX(SPLIT(B374,""/| |:""),5), INDEX(SPLIT(B374,""/| |:""),6)) - DATE(1970,1,1)) * 86400)"),1.709317531E9)</f>
        <v>1709317531</v>
      </c>
      <c r="G374" s="3">
        <f>IFERROR(__xludf.DUMMYFUNCTION("INT((DATE(INDEX(SPLIT(C374,""/| |:""),3), INDEX(SPLIT(C374,""/| |:""),2), INDEX(SPLIT(C374,""/| |:""),1)) + TIME(INDEX(SPLIT(C374,""/| |:""),4), INDEX(SPLIT(C374,""/| |:""),5), INDEX(SPLIT(C374,""/| |:""),6)) - DATE(1970,1,1)) * 86400)"),1.713205531E9)</f>
        <v>1713205531</v>
      </c>
    </row>
    <row r="375">
      <c r="A375" s="1" t="s">
        <v>127</v>
      </c>
      <c r="B375" s="5">
        <v>45294.768958333334</v>
      </c>
      <c r="C375" s="1" t="s">
        <v>1264</v>
      </c>
      <c r="D375" s="1" t="s">
        <v>1265</v>
      </c>
      <c r="F375" s="3">
        <f>IFERROR(__xludf.DUMMYFUNCTION("INT((DATE(INDEX(SPLIT(B375,""/| |:""),3), INDEX(SPLIT(B375,""/| |:""),2), INDEX(SPLIT(B375,""/| |:""),1)) + TIME(INDEX(SPLIT(B375,""/| |:""),4), INDEX(SPLIT(B375,""/| |:""),5), INDEX(SPLIT(B375,""/| |:""),6)) - DATE(1970,1,1)) * 86400)"),1.709317638E9)</f>
        <v>1709317638</v>
      </c>
      <c r="G375" s="3">
        <f>IFERROR(__xludf.DUMMYFUNCTION("INT((DATE(INDEX(SPLIT(C375,""/| |:""),3), INDEX(SPLIT(C375,""/| |:""),2), INDEX(SPLIT(C375,""/| |:""),1)) + TIME(INDEX(SPLIT(C375,""/| |:""),4), INDEX(SPLIT(C375,""/| |:""),5), INDEX(SPLIT(C375,""/| |:""),6)) - DATE(1970,1,1)) * 86400)"),1.713205638E9)</f>
        <v>1713205638</v>
      </c>
    </row>
    <row r="376">
      <c r="A376" s="1" t="s">
        <v>127</v>
      </c>
      <c r="B376" s="5">
        <v>45294.77006944444</v>
      </c>
      <c r="C376" s="1" t="s">
        <v>1266</v>
      </c>
      <c r="D376" s="1" t="s">
        <v>1267</v>
      </c>
      <c r="F376" s="3">
        <f>IFERROR(__xludf.DUMMYFUNCTION("INT((DATE(INDEX(SPLIT(B376,""/| |:""),3), INDEX(SPLIT(B376,""/| |:""),2), INDEX(SPLIT(B376,""/| |:""),1)) + TIME(INDEX(SPLIT(B376,""/| |:""),4), INDEX(SPLIT(B376,""/| |:""),5), INDEX(SPLIT(B376,""/| |:""),6)) - DATE(1970,1,1)) * 86400)"),1.709317734E9)</f>
        <v>1709317734</v>
      </c>
      <c r="G376" s="3">
        <f>IFERROR(__xludf.DUMMYFUNCTION("INT((DATE(INDEX(SPLIT(C376,""/| |:""),3), INDEX(SPLIT(C376,""/| |:""),2), INDEX(SPLIT(C376,""/| |:""),1)) + TIME(INDEX(SPLIT(C376,""/| |:""),4), INDEX(SPLIT(C376,""/| |:""),5), INDEX(SPLIT(C376,""/| |:""),6)) - DATE(1970,1,1)) * 86400)"),1.713205734E9)</f>
        <v>1713205734</v>
      </c>
    </row>
    <row r="377">
      <c r="A377" s="1" t="s">
        <v>127</v>
      </c>
      <c r="B377" s="5">
        <v>45294.77104166667</v>
      </c>
      <c r="C377" s="1" t="s">
        <v>1268</v>
      </c>
      <c r="D377" s="1" t="s">
        <v>1269</v>
      </c>
      <c r="F377" s="3">
        <f>IFERROR(__xludf.DUMMYFUNCTION("INT((DATE(INDEX(SPLIT(B377,""/| |:""),3), INDEX(SPLIT(B377,""/| |:""),2), INDEX(SPLIT(B377,""/| |:""),1)) + TIME(INDEX(SPLIT(B377,""/| |:""),4), INDEX(SPLIT(B377,""/| |:""),5), INDEX(SPLIT(B377,""/| |:""),6)) - DATE(1970,1,1)) * 86400)"),1.709317818E9)</f>
        <v>1709317818</v>
      </c>
      <c r="G377" s="3">
        <f>IFERROR(__xludf.DUMMYFUNCTION("INT((DATE(INDEX(SPLIT(C377,""/| |:""),3), INDEX(SPLIT(C377,""/| |:""),2), INDEX(SPLIT(C377,""/| |:""),1)) + TIME(INDEX(SPLIT(C377,""/| |:""),4), INDEX(SPLIT(C377,""/| |:""),5), INDEX(SPLIT(C377,""/| |:""),6)) - DATE(1970,1,1)) * 86400)"),1.713205818E9)</f>
        <v>1713205818</v>
      </c>
    </row>
    <row r="378">
      <c r="A378" s="1" t="s">
        <v>127</v>
      </c>
      <c r="B378" s="5">
        <v>45294.77216435185</v>
      </c>
      <c r="C378" s="1" t="s">
        <v>1270</v>
      </c>
      <c r="D378" s="1" t="s">
        <v>1271</v>
      </c>
      <c r="F378" s="3">
        <f>IFERROR(__xludf.DUMMYFUNCTION("INT((DATE(INDEX(SPLIT(B378,""/| |:""),3), INDEX(SPLIT(B378,""/| |:""),2), INDEX(SPLIT(B378,""/| |:""),1)) + TIME(INDEX(SPLIT(B378,""/| |:""),4), INDEX(SPLIT(B378,""/| |:""),5), INDEX(SPLIT(B378,""/| |:""),6)) - DATE(1970,1,1)) * 86400)"),1.709317915E9)</f>
        <v>1709317915</v>
      </c>
      <c r="G378" s="3">
        <f>IFERROR(__xludf.DUMMYFUNCTION("INT((DATE(INDEX(SPLIT(C378,""/| |:""),3), INDEX(SPLIT(C378,""/| |:""),2), INDEX(SPLIT(C378,""/| |:""),1)) + TIME(INDEX(SPLIT(C378,""/| |:""),4), INDEX(SPLIT(C378,""/| |:""),5), INDEX(SPLIT(C378,""/| |:""),6)) - DATE(1970,1,1)) * 86400)"),1.713205915E9)</f>
        <v>1713205915</v>
      </c>
    </row>
    <row r="379">
      <c r="A379" s="1" t="s">
        <v>350</v>
      </c>
      <c r="B379" s="5">
        <v>45294.7884837963</v>
      </c>
      <c r="C379" s="1" t="s">
        <v>1272</v>
      </c>
      <c r="D379" s="1" t="s">
        <v>1273</v>
      </c>
      <c r="F379" s="3">
        <f>IFERROR(__xludf.DUMMYFUNCTION("INT((DATE(INDEX(SPLIT(B379,""/| |:""),3), INDEX(SPLIT(B379,""/| |:""),2), INDEX(SPLIT(B379,""/| |:""),1)) + TIME(INDEX(SPLIT(B379,""/| |:""),4), INDEX(SPLIT(B379,""/| |:""),5), INDEX(SPLIT(B379,""/| |:""),6)) - DATE(1970,1,1)) * 86400)"),1.709319325E9)</f>
        <v>1709319325</v>
      </c>
      <c r="G379" s="3">
        <f>IFERROR(__xludf.DUMMYFUNCTION("INT((DATE(INDEX(SPLIT(C379,""/| |:""),3), INDEX(SPLIT(C379,""/| |:""),2), INDEX(SPLIT(C379,""/| |:""),1)) + TIME(INDEX(SPLIT(C379,""/| |:""),4), INDEX(SPLIT(C379,""/| |:""),5), INDEX(SPLIT(C379,""/| |:""),6)) - DATE(1970,1,1)) * 86400)"),1.713207325E9)</f>
        <v>1713207325</v>
      </c>
    </row>
    <row r="380">
      <c r="A380" s="1" t="s">
        <v>391</v>
      </c>
      <c r="B380" s="5">
        <v>45294.81538194444</v>
      </c>
      <c r="C380" s="1" t="s">
        <v>1274</v>
      </c>
      <c r="D380" s="1" t="s">
        <v>1275</v>
      </c>
      <c r="F380" s="3">
        <f>IFERROR(__xludf.DUMMYFUNCTION("INT((DATE(INDEX(SPLIT(B380,""/| |:""),3), INDEX(SPLIT(B380,""/| |:""),2), INDEX(SPLIT(B380,""/| |:""),1)) + TIME(INDEX(SPLIT(B380,""/| |:""),4), INDEX(SPLIT(B380,""/| |:""),5), INDEX(SPLIT(B380,""/| |:""),6)) - DATE(1970,1,1)) * 86400)"),1.709321649E9)</f>
        <v>1709321649</v>
      </c>
      <c r="G380" s="3">
        <f>IFERROR(__xludf.DUMMYFUNCTION("INT((DATE(INDEX(SPLIT(C380,""/| |:""),3), INDEX(SPLIT(C380,""/| |:""),2), INDEX(SPLIT(C380,""/| |:""),1)) + TIME(INDEX(SPLIT(C380,""/| |:""),4), INDEX(SPLIT(C380,""/| |:""),5), INDEX(SPLIT(C380,""/| |:""),6)) - DATE(1970,1,1)) * 86400)"),1.713209649E9)</f>
        <v>1713209649</v>
      </c>
    </row>
    <row r="381">
      <c r="A381" s="1" t="s">
        <v>390</v>
      </c>
      <c r="B381" s="5">
        <v>45294.88798611111</v>
      </c>
      <c r="C381" s="1" t="s">
        <v>1276</v>
      </c>
      <c r="D381" s="1" t="s">
        <v>1277</v>
      </c>
      <c r="F381" s="3">
        <f>IFERROR(__xludf.DUMMYFUNCTION("INT((DATE(INDEX(SPLIT(B381,""/| |:""),3), INDEX(SPLIT(B381,""/| |:""),2), INDEX(SPLIT(B381,""/| |:""),1)) + TIME(INDEX(SPLIT(B381,""/| |:""),4), INDEX(SPLIT(B381,""/| |:""),5), INDEX(SPLIT(B381,""/| |:""),6)) - DATE(1970,1,1)) * 86400)"),1.709327922E9)</f>
        <v>1709327922</v>
      </c>
      <c r="G381" s="3">
        <f>IFERROR(__xludf.DUMMYFUNCTION("INT((DATE(INDEX(SPLIT(C381,""/| |:""),3), INDEX(SPLIT(C381,""/| |:""),2), INDEX(SPLIT(C381,""/| |:""),1)) + TIME(INDEX(SPLIT(C381,""/| |:""),4), INDEX(SPLIT(C381,""/| |:""),5), INDEX(SPLIT(C381,""/| |:""),6)) - DATE(1970,1,1)) * 86400)"),1.713215922E9)</f>
        <v>1713215922</v>
      </c>
    </row>
    <row r="382">
      <c r="A382" s="1" t="s">
        <v>68</v>
      </c>
      <c r="B382" s="5">
        <v>45294.90275462963</v>
      </c>
      <c r="C382" s="1" t="s">
        <v>1278</v>
      </c>
      <c r="D382" s="1" t="s">
        <v>1279</v>
      </c>
      <c r="F382" s="3">
        <f>IFERROR(__xludf.DUMMYFUNCTION("INT((DATE(INDEX(SPLIT(B382,""/| |:""),3), INDEX(SPLIT(B382,""/| |:""),2), INDEX(SPLIT(B382,""/| |:""),1)) + TIME(INDEX(SPLIT(B382,""/| |:""),4), INDEX(SPLIT(B382,""/| |:""),5), INDEX(SPLIT(B382,""/| |:""),6)) - DATE(1970,1,1)) * 86400)"),1.709329198E9)</f>
        <v>1709329198</v>
      </c>
      <c r="G382" s="3">
        <f>IFERROR(__xludf.DUMMYFUNCTION("INT((DATE(INDEX(SPLIT(C382,""/| |:""),3), INDEX(SPLIT(C382,""/| |:""),2), INDEX(SPLIT(C382,""/| |:""),1)) + TIME(INDEX(SPLIT(C382,""/| |:""),4), INDEX(SPLIT(C382,""/| |:""),5), INDEX(SPLIT(C382,""/| |:""),6)) - DATE(1970,1,1)) * 86400)"),1.713217198E9)</f>
        <v>1713217198</v>
      </c>
    </row>
    <row r="383">
      <c r="A383" s="1" t="s">
        <v>350</v>
      </c>
      <c r="B383" s="5">
        <v>45294.942395833335</v>
      </c>
      <c r="C383" s="1" t="s">
        <v>1280</v>
      </c>
      <c r="D383" s="1" t="s">
        <v>1281</v>
      </c>
      <c r="F383" s="3">
        <f>IFERROR(__xludf.DUMMYFUNCTION("INT((DATE(INDEX(SPLIT(B383,""/| |:""),3), INDEX(SPLIT(B383,""/| |:""),2), INDEX(SPLIT(B383,""/| |:""),1)) + TIME(INDEX(SPLIT(B383,""/| |:""),4), INDEX(SPLIT(B383,""/| |:""),5), INDEX(SPLIT(B383,""/| |:""),6)) - DATE(1970,1,1)) * 86400)"),1.709332623E9)</f>
        <v>1709332623</v>
      </c>
      <c r="G383" s="3">
        <f>IFERROR(__xludf.DUMMYFUNCTION("INT((DATE(INDEX(SPLIT(C383,""/| |:""),3), INDEX(SPLIT(C383,""/| |:""),2), INDEX(SPLIT(C383,""/| |:""),1)) + TIME(INDEX(SPLIT(C383,""/| |:""),4), INDEX(SPLIT(C383,""/| |:""),5), INDEX(SPLIT(C383,""/| |:""),6)) - DATE(1970,1,1)) * 86400)"),1.713220623E9)</f>
        <v>1713220623</v>
      </c>
    </row>
    <row r="384">
      <c r="A384" s="1" t="s">
        <v>389</v>
      </c>
      <c r="B384" s="5">
        <v>45294.95355324074</v>
      </c>
      <c r="C384" s="1" t="s">
        <v>1282</v>
      </c>
      <c r="D384" s="1" t="s">
        <v>1283</v>
      </c>
      <c r="F384" s="3">
        <f>IFERROR(__xludf.DUMMYFUNCTION("INT((DATE(INDEX(SPLIT(B384,""/| |:""),3), INDEX(SPLIT(B384,""/| |:""),2), INDEX(SPLIT(B384,""/| |:""),1)) + TIME(INDEX(SPLIT(B384,""/| |:""),4), INDEX(SPLIT(B384,""/| |:""),5), INDEX(SPLIT(B384,""/| |:""),6)) - DATE(1970,1,1)) * 86400)"),1.709333587E9)</f>
        <v>1709333587</v>
      </c>
      <c r="G384" s="3">
        <f>IFERROR(__xludf.DUMMYFUNCTION("INT((DATE(INDEX(SPLIT(C384,""/| |:""),3), INDEX(SPLIT(C384,""/| |:""),2), INDEX(SPLIT(C384,""/| |:""),1)) + TIME(INDEX(SPLIT(C384,""/| |:""),4), INDEX(SPLIT(C384,""/| |:""),5), INDEX(SPLIT(C384,""/| |:""),6)) - DATE(1970,1,1)) * 86400)"),1.713221587E9)</f>
        <v>1713221587</v>
      </c>
    </row>
    <row r="385">
      <c r="A385" s="1" t="s">
        <v>49</v>
      </c>
      <c r="B385" s="5">
        <v>45325.31693287037</v>
      </c>
      <c r="C385" s="1" t="s">
        <v>1284</v>
      </c>
      <c r="D385" s="1" t="s">
        <v>1285</v>
      </c>
      <c r="F385" s="3">
        <f>IFERROR(__xludf.DUMMYFUNCTION("INT((DATE(INDEX(SPLIT(B385,""/| |:""),3), INDEX(SPLIT(B385,""/| |:""),2), INDEX(SPLIT(B385,""/| |:""),1)) + TIME(INDEX(SPLIT(B385,""/| |:""),4), INDEX(SPLIT(B385,""/| |:""),5), INDEX(SPLIT(B385,""/| |:""),6)) - DATE(1970,1,1)) * 86400)"),1.709364983E9)</f>
        <v>1709364983</v>
      </c>
      <c r="G385" s="3">
        <f>IFERROR(__xludf.DUMMYFUNCTION("INT((DATE(INDEX(SPLIT(C385,""/| |:""),3), INDEX(SPLIT(C385,""/| |:""),2), INDEX(SPLIT(C385,""/| |:""),1)) + TIME(INDEX(SPLIT(C385,""/| |:""),4), INDEX(SPLIT(C385,""/| |:""),5), INDEX(SPLIT(C385,""/| |:""),6)) - DATE(1970,1,1)) * 86400)"),1.713252983E9)</f>
        <v>1713252983</v>
      </c>
    </row>
    <row r="386">
      <c r="A386" s="1" t="s">
        <v>138</v>
      </c>
      <c r="B386" s="5">
        <v>45325.32258101852</v>
      </c>
      <c r="C386" s="1" t="s">
        <v>1286</v>
      </c>
      <c r="D386" s="1" t="s">
        <v>1287</v>
      </c>
      <c r="F386" s="3">
        <f>IFERROR(__xludf.DUMMYFUNCTION("INT((DATE(INDEX(SPLIT(B386,""/| |:""),3), INDEX(SPLIT(B386,""/| |:""),2), INDEX(SPLIT(B386,""/| |:""),1)) + TIME(INDEX(SPLIT(B386,""/| |:""),4), INDEX(SPLIT(B386,""/| |:""),5), INDEX(SPLIT(B386,""/| |:""),6)) - DATE(1970,1,1)) * 86400)"),1.709365471E9)</f>
        <v>1709365471</v>
      </c>
      <c r="G386" s="3">
        <f>IFERROR(__xludf.DUMMYFUNCTION("INT((DATE(INDEX(SPLIT(C386,""/| |:""),3), INDEX(SPLIT(C386,""/| |:""),2), INDEX(SPLIT(C386,""/| |:""),1)) + TIME(INDEX(SPLIT(C386,""/| |:""),4), INDEX(SPLIT(C386,""/| |:""),5), INDEX(SPLIT(C386,""/| |:""),6)) - DATE(1970,1,1)) * 86400)"),1.713253471E9)</f>
        <v>1713253471</v>
      </c>
    </row>
    <row r="387">
      <c r="A387" s="1" t="s">
        <v>68</v>
      </c>
      <c r="B387" s="5">
        <v>45325.34042824074</v>
      </c>
      <c r="C387" s="1" t="s">
        <v>1288</v>
      </c>
      <c r="D387" s="1" t="s">
        <v>1289</v>
      </c>
      <c r="F387" s="3">
        <f>IFERROR(__xludf.DUMMYFUNCTION("INT((DATE(INDEX(SPLIT(B387,""/| |:""),3), INDEX(SPLIT(B387,""/| |:""),2), INDEX(SPLIT(B387,""/| |:""),1)) + TIME(INDEX(SPLIT(B387,""/| |:""),4), INDEX(SPLIT(B387,""/| |:""),5), INDEX(SPLIT(B387,""/| |:""),6)) - DATE(1970,1,1)) * 86400)"),1.709367013E9)</f>
        <v>1709367013</v>
      </c>
      <c r="G387" s="3">
        <f>IFERROR(__xludf.DUMMYFUNCTION("INT((DATE(INDEX(SPLIT(C387,""/| |:""),3), INDEX(SPLIT(C387,""/| |:""),2), INDEX(SPLIT(C387,""/| |:""),1)) + TIME(INDEX(SPLIT(C387,""/| |:""),4), INDEX(SPLIT(C387,""/| |:""),5), INDEX(SPLIT(C387,""/| |:""),6)) - DATE(1970,1,1)) * 86400)"),1.713255013E9)</f>
        <v>1713255013</v>
      </c>
    </row>
    <row r="388">
      <c r="A388" s="1" t="s">
        <v>388</v>
      </c>
      <c r="B388" s="5">
        <v>45325.36070601852</v>
      </c>
      <c r="C388" s="1" t="s">
        <v>1290</v>
      </c>
      <c r="D388" s="1" t="s">
        <v>1291</v>
      </c>
      <c r="F388" s="3">
        <f>IFERROR(__xludf.DUMMYFUNCTION("INT((DATE(INDEX(SPLIT(B388,""/| |:""),3), INDEX(SPLIT(B388,""/| |:""),2), INDEX(SPLIT(B388,""/| |:""),1)) + TIME(INDEX(SPLIT(B388,""/| |:""),4), INDEX(SPLIT(B388,""/| |:""),5), INDEX(SPLIT(B388,""/| |:""),6)) - DATE(1970,1,1)) * 86400)"),1.709368765E9)</f>
        <v>1709368765</v>
      </c>
      <c r="G388" s="3">
        <f>IFERROR(__xludf.DUMMYFUNCTION("INT((DATE(INDEX(SPLIT(C388,""/| |:""),3), INDEX(SPLIT(C388,""/| |:""),2), INDEX(SPLIT(C388,""/| |:""),1)) + TIME(INDEX(SPLIT(C388,""/| |:""),4), INDEX(SPLIT(C388,""/| |:""),5), INDEX(SPLIT(C388,""/| |:""),6)) - DATE(1970,1,1)) * 86400)"),1.713256765E9)</f>
        <v>1713256765</v>
      </c>
    </row>
    <row r="389">
      <c r="A389" s="1" t="s">
        <v>387</v>
      </c>
      <c r="B389" s="5">
        <v>45325.41386574074</v>
      </c>
      <c r="C389" s="1" t="s">
        <v>1292</v>
      </c>
      <c r="D389" s="1" t="s">
        <v>1293</v>
      </c>
      <c r="F389" s="3">
        <f>IFERROR(__xludf.DUMMYFUNCTION("INT((DATE(INDEX(SPLIT(B389,""/| |:""),3), INDEX(SPLIT(B389,""/| |:""),2), INDEX(SPLIT(B389,""/| |:""),1)) + TIME(INDEX(SPLIT(B389,""/| |:""),4), INDEX(SPLIT(B389,""/| |:""),5), INDEX(SPLIT(B389,""/| |:""),6)) - DATE(1970,1,1)) * 86400)"),1.709373358E9)</f>
        <v>1709373358</v>
      </c>
      <c r="G389" s="3">
        <f>IFERROR(__xludf.DUMMYFUNCTION("INT((DATE(INDEX(SPLIT(C389,""/| |:""),3), INDEX(SPLIT(C389,""/| |:""),2), INDEX(SPLIT(C389,""/| |:""),1)) + TIME(INDEX(SPLIT(C389,""/| |:""),4), INDEX(SPLIT(C389,""/| |:""),5), INDEX(SPLIT(C389,""/| |:""),6)) - DATE(1970,1,1)) * 86400)"),1.713261358E9)</f>
        <v>1713261358</v>
      </c>
    </row>
    <row r="390">
      <c r="A390" s="1" t="s">
        <v>68</v>
      </c>
      <c r="B390" s="5">
        <v>45325.44429398148</v>
      </c>
      <c r="C390" s="1" t="s">
        <v>1294</v>
      </c>
      <c r="D390" s="1" t="s">
        <v>1295</v>
      </c>
      <c r="F390" s="3">
        <f>IFERROR(__xludf.DUMMYFUNCTION("INT((DATE(INDEX(SPLIT(B390,""/| |:""),3), INDEX(SPLIT(B390,""/| |:""),2), INDEX(SPLIT(B390,""/| |:""),1)) + TIME(INDEX(SPLIT(B390,""/| |:""),4), INDEX(SPLIT(B390,""/| |:""),5), INDEX(SPLIT(B390,""/| |:""),6)) - DATE(1970,1,1)) * 86400)"),1.709375987E9)</f>
        <v>1709375987</v>
      </c>
      <c r="G390" s="3">
        <f>IFERROR(__xludf.DUMMYFUNCTION("INT((DATE(INDEX(SPLIT(C390,""/| |:""),3), INDEX(SPLIT(C390,""/| |:""),2), INDEX(SPLIT(C390,""/| |:""),1)) + TIME(INDEX(SPLIT(C390,""/| |:""),4), INDEX(SPLIT(C390,""/| |:""),5), INDEX(SPLIT(C390,""/| |:""),6)) - DATE(1970,1,1)) * 86400)"),1.713263987E9)</f>
        <v>1713263987</v>
      </c>
    </row>
    <row r="391">
      <c r="A391" s="1" t="s">
        <v>386</v>
      </c>
      <c r="B391" s="5">
        <v>45325.68601851852</v>
      </c>
      <c r="C391" s="1" t="s">
        <v>1296</v>
      </c>
      <c r="D391" s="1" t="s">
        <v>1297</v>
      </c>
      <c r="F391" s="3">
        <f>IFERROR(__xludf.DUMMYFUNCTION("INT((DATE(INDEX(SPLIT(B391,""/| |:""),3), INDEX(SPLIT(B391,""/| |:""),2), INDEX(SPLIT(B391,""/| |:""),1)) + TIME(INDEX(SPLIT(B391,""/| |:""),4), INDEX(SPLIT(B391,""/| |:""),5), INDEX(SPLIT(B391,""/| |:""),6)) - DATE(1970,1,1)) * 86400)"),1.709396872E9)</f>
        <v>1709396872</v>
      </c>
      <c r="G391" s="3">
        <f>IFERROR(__xludf.DUMMYFUNCTION("INT((DATE(INDEX(SPLIT(C391,""/| |:""),3), INDEX(SPLIT(C391,""/| |:""),2), INDEX(SPLIT(C391,""/| |:""),1)) + TIME(INDEX(SPLIT(C391,""/| |:""),4), INDEX(SPLIT(C391,""/| |:""),5), INDEX(SPLIT(C391,""/| |:""),6)) - DATE(1970,1,1)) * 86400)"),1.713284872E9)</f>
        <v>1713284872</v>
      </c>
    </row>
    <row r="392">
      <c r="A392" s="1" t="s">
        <v>386</v>
      </c>
      <c r="B392" s="5">
        <v>45325.68708333333</v>
      </c>
      <c r="C392" s="1" t="s">
        <v>1298</v>
      </c>
      <c r="D392" s="1" t="s">
        <v>1299</v>
      </c>
      <c r="F392" s="3">
        <f>IFERROR(__xludf.DUMMYFUNCTION("INT((DATE(INDEX(SPLIT(B392,""/| |:""),3), INDEX(SPLIT(B392,""/| |:""),2), INDEX(SPLIT(B392,""/| |:""),1)) + TIME(INDEX(SPLIT(B392,""/| |:""),4), INDEX(SPLIT(B392,""/| |:""),5), INDEX(SPLIT(B392,""/| |:""),6)) - DATE(1970,1,1)) * 86400)"),1.709396964E9)</f>
        <v>1709396964</v>
      </c>
      <c r="G392" s="3">
        <f>IFERROR(__xludf.DUMMYFUNCTION("INT((DATE(INDEX(SPLIT(C392,""/| |:""),3), INDEX(SPLIT(C392,""/| |:""),2), INDEX(SPLIT(C392,""/| |:""),1)) + TIME(INDEX(SPLIT(C392,""/| |:""),4), INDEX(SPLIT(C392,""/| |:""),5), INDEX(SPLIT(C392,""/| |:""),6)) - DATE(1970,1,1)) * 86400)"),1.713284964E9)</f>
        <v>1713284964</v>
      </c>
    </row>
    <row r="393">
      <c r="A393" s="1" t="s">
        <v>386</v>
      </c>
      <c r="B393" s="5">
        <v>45325.68822916667</v>
      </c>
      <c r="C393" s="1" t="s">
        <v>1300</v>
      </c>
      <c r="D393" s="1" t="s">
        <v>1301</v>
      </c>
      <c r="F393" s="3">
        <f>IFERROR(__xludf.DUMMYFUNCTION("INT((DATE(INDEX(SPLIT(B393,""/| |:""),3), INDEX(SPLIT(B393,""/| |:""),2), INDEX(SPLIT(B393,""/| |:""),1)) + TIME(INDEX(SPLIT(B393,""/| |:""),4), INDEX(SPLIT(B393,""/| |:""),5), INDEX(SPLIT(B393,""/| |:""),6)) - DATE(1970,1,1)) * 86400)"),1.709397063E9)</f>
        <v>1709397063</v>
      </c>
      <c r="G393" s="3">
        <f>IFERROR(__xludf.DUMMYFUNCTION("INT((DATE(INDEX(SPLIT(C393,""/| |:""),3), INDEX(SPLIT(C393,""/| |:""),2), INDEX(SPLIT(C393,""/| |:""),1)) + TIME(INDEX(SPLIT(C393,""/| |:""),4), INDEX(SPLIT(C393,""/| |:""),5), INDEX(SPLIT(C393,""/| |:""),6)) - DATE(1970,1,1)) * 86400)"),1.713285063E9)</f>
        <v>1713285063</v>
      </c>
    </row>
    <row r="394">
      <c r="A394" s="1" t="s">
        <v>385</v>
      </c>
      <c r="B394" s="5">
        <v>45325.78884259259</v>
      </c>
      <c r="C394" s="1" t="s">
        <v>1302</v>
      </c>
      <c r="D394" s="1" t="s">
        <v>1303</v>
      </c>
      <c r="F394" s="3">
        <f>IFERROR(__xludf.DUMMYFUNCTION("INT((DATE(INDEX(SPLIT(B394,""/| |:""),3), INDEX(SPLIT(B394,""/| |:""),2), INDEX(SPLIT(B394,""/| |:""),1)) + TIME(INDEX(SPLIT(B394,""/| |:""),4), INDEX(SPLIT(B394,""/| |:""),5), INDEX(SPLIT(B394,""/| |:""),6)) - DATE(1970,1,1)) * 86400)"),1.709405756E9)</f>
        <v>1709405756</v>
      </c>
      <c r="G394" s="3">
        <f>IFERROR(__xludf.DUMMYFUNCTION("INT((DATE(INDEX(SPLIT(C394,""/| |:""),3), INDEX(SPLIT(C394,""/| |:""),2), INDEX(SPLIT(C394,""/| |:""),1)) + TIME(INDEX(SPLIT(C394,""/| |:""),4), INDEX(SPLIT(C394,""/| |:""),5), INDEX(SPLIT(C394,""/| |:""),6)) - DATE(1970,1,1)) * 86400)"),1.713293756E9)</f>
        <v>1713293756</v>
      </c>
    </row>
    <row r="395">
      <c r="A395" s="1" t="s">
        <v>384</v>
      </c>
      <c r="B395" s="5">
        <v>45325.90185185185</v>
      </c>
      <c r="C395" s="1" t="s">
        <v>1304</v>
      </c>
      <c r="D395" s="1" t="s">
        <v>1305</v>
      </c>
      <c r="F395" s="3">
        <f>IFERROR(__xludf.DUMMYFUNCTION("INT((DATE(INDEX(SPLIT(B395,""/| |:""),3), INDEX(SPLIT(B395,""/| |:""),2), INDEX(SPLIT(B395,""/| |:""),1)) + TIME(INDEX(SPLIT(B395,""/| |:""),4), INDEX(SPLIT(B395,""/| |:""),5), INDEX(SPLIT(B395,""/| |:""),6)) - DATE(1970,1,1)) * 86400)"),1.70941552E9)</f>
        <v>1709415520</v>
      </c>
      <c r="G395" s="3">
        <f>IFERROR(__xludf.DUMMYFUNCTION("INT((DATE(INDEX(SPLIT(C395,""/| |:""),3), INDEX(SPLIT(C395,""/| |:""),2), INDEX(SPLIT(C395,""/| |:""),1)) + TIME(INDEX(SPLIT(C395,""/| |:""),4), INDEX(SPLIT(C395,""/| |:""),5), INDEX(SPLIT(C395,""/| |:""),6)) - DATE(1970,1,1)) * 86400)"),1.71330352E9)</f>
        <v>1713303520</v>
      </c>
    </row>
    <row r="396">
      <c r="A396" s="1" t="s">
        <v>383</v>
      </c>
      <c r="B396" s="5">
        <v>45325.93299768519</v>
      </c>
      <c r="C396" s="1" t="s">
        <v>1306</v>
      </c>
      <c r="D396" s="1" t="s">
        <v>1307</v>
      </c>
      <c r="F396" s="3">
        <f>IFERROR(__xludf.DUMMYFUNCTION("INT((DATE(INDEX(SPLIT(B396,""/| |:""),3), INDEX(SPLIT(B396,""/| |:""),2), INDEX(SPLIT(B396,""/| |:""),1)) + TIME(INDEX(SPLIT(B396,""/| |:""),4), INDEX(SPLIT(B396,""/| |:""),5), INDEX(SPLIT(B396,""/| |:""),6)) - DATE(1970,1,1)) * 86400)"),1.709418211E9)</f>
        <v>1709418211</v>
      </c>
      <c r="G396" s="3">
        <f>IFERROR(__xludf.DUMMYFUNCTION("INT((DATE(INDEX(SPLIT(C396,""/| |:""),3), INDEX(SPLIT(C396,""/| |:""),2), INDEX(SPLIT(C396,""/| |:""),1)) + TIME(INDEX(SPLIT(C396,""/| |:""),4), INDEX(SPLIT(C396,""/| |:""),5), INDEX(SPLIT(C396,""/| |:""),6)) - DATE(1970,1,1)) * 86400)"),1.713306211E9)</f>
        <v>1713306211</v>
      </c>
    </row>
    <row r="397">
      <c r="A397" s="1" t="s">
        <v>382</v>
      </c>
      <c r="B397" s="5">
        <v>45325.98876157407</v>
      </c>
      <c r="C397" s="1" t="s">
        <v>1308</v>
      </c>
      <c r="D397" s="1" t="s">
        <v>1309</v>
      </c>
      <c r="F397" s="3">
        <f>IFERROR(__xludf.DUMMYFUNCTION("INT((DATE(INDEX(SPLIT(B397,""/| |:""),3), INDEX(SPLIT(B397,""/| |:""),2), INDEX(SPLIT(B397,""/| |:""),1)) + TIME(INDEX(SPLIT(B397,""/| |:""),4), INDEX(SPLIT(B397,""/| |:""),5), INDEX(SPLIT(B397,""/| |:""),6)) - DATE(1970,1,1)) * 86400)"),1.709423029E9)</f>
        <v>1709423029</v>
      </c>
      <c r="G397" s="3">
        <f>IFERROR(__xludf.DUMMYFUNCTION("INT((DATE(INDEX(SPLIT(C397,""/| |:""),3), INDEX(SPLIT(C397,""/| |:""),2), INDEX(SPLIT(C397,""/| |:""),1)) + TIME(INDEX(SPLIT(C397,""/| |:""),4), INDEX(SPLIT(C397,""/| |:""),5), INDEX(SPLIT(C397,""/| |:""),6)) - DATE(1970,1,1)) * 86400)"),1.713311029E9)</f>
        <v>1713311029</v>
      </c>
    </row>
    <row r="398">
      <c r="A398" s="1" t="s">
        <v>381</v>
      </c>
      <c r="B398" s="5">
        <v>45325.991643518515</v>
      </c>
      <c r="C398" s="1" t="s">
        <v>1310</v>
      </c>
      <c r="D398" s="1" t="s">
        <v>1311</v>
      </c>
      <c r="F398" s="3">
        <f>IFERROR(__xludf.DUMMYFUNCTION("INT((DATE(INDEX(SPLIT(B398,""/| |:""),3), INDEX(SPLIT(B398,""/| |:""),2), INDEX(SPLIT(B398,""/| |:""),1)) + TIME(INDEX(SPLIT(B398,""/| |:""),4), INDEX(SPLIT(B398,""/| |:""),5), INDEX(SPLIT(B398,""/| |:""),6)) - DATE(1970,1,1)) * 86400)"),1.709423278E9)</f>
        <v>1709423278</v>
      </c>
      <c r="G398" s="3">
        <f>IFERROR(__xludf.DUMMYFUNCTION("INT((DATE(INDEX(SPLIT(C398,""/| |:""),3), INDEX(SPLIT(C398,""/| |:""),2), INDEX(SPLIT(C398,""/| |:""),1)) + TIME(INDEX(SPLIT(C398,""/| |:""),4), INDEX(SPLIT(C398,""/| |:""),5), INDEX(SPLIT(C398,""/| |:""),6)) - DATE(1970,1,1)) * 86400)"),1.713311278E9)</f>
        <v>1713311278</v>
      </c>
    </row>
    <row r="399">
      <c r="A399" s="1" t="s">
        <v>380</v>
      </c>
      <c r="B399" s="5">
        <v>45325.9949537037</v>
      </c>
      <c r="C399" s="1" t="s">
        <v>1312</v>
      </c>
      <c r="D399" s="1" t="s">
        <v>1313</v>
      </c>
      <c r="F399" s="3">
        <f>IFERROR(__xludf.DUMMYFUNCTION("INT((DATE(INDEX(SPLIT(B399,""/| |:""),3), INDEX(SPLIT(B399,""/| |:""),2), INDEX(SPLIT(B399,""/| |:""),1)) + TIME(INDEX(SPLIT(B399,""/| |:""),4), INDEX(SPLIT(B399,""/| |:""),5), INDEX(SPLIT(B399,""/| |:""),6)) - DATE(1970,1,1)) * 86400)"),1.709423564E9)</f>
        <v>1709423564</v>
      </c>
      <c r="G399" s="3">
        <f>IFERROR(__xludf.DUMMYFUNCTION("INT((DATE(INDEX(SPLIT(C399,""/| |:""),3), INDEX(SPLIT(C399,""/| |:""),2), INDEX(SPLIT(C399,""/| |:""),1)) + TIME(INDEX(SPLIT(C399,""/| |:""),4), INDEX(SPLIT(C399,""/| |:""),5), INDEX(SPLIT(C399,""/| |:""),6)) - DATE(1970,1,1)) * 86400)"),1.713311564E9)</f>
        <v>1713311564</v>
      </c>
    </row>
    <row r="400">
      <c r="A400" s="1" t="s">
        <v>379</v>
      </c>
      <c r="B400" s="5">
        <v>45325.99548611111</v>
      </c>
      <c r="C400" s="1" t="s">
        <v>1314</v>
      </c>
      <c r="D400" s="1" t="s">
        <v>1313</v>
      </c>
      <c r="F400" s="3">
        <f>IFERROR(__xludf.DUMMYFUNCTION("INT((DATE(INDEX(SPLIT(B400,""/| |:""),3), INDEX(SPLIT(B400,""/| |:""),2), INDEX(SPLIT(B400,""/| |:""),1)) + TIME(INDEX(SPLIT(B400,""/| |:""),4), INDEX(SPLIT(B400,""/| |:""),5), INDEX(SPLIT(B400,""/| |:""),6)) - DATE(1970,1,1)) * 86400)"),1.70942361E9)</f>
        <v>1709423610</v>
      </c>
      <c r="G400" s="3">
        <f>IFERROR(__xludf.DUMMYFUNCTION("INT((DATE(INDEX(SPLIT(C400,""/| |:""),3), INDEX(SPLIT(C400,""/| |:""),2), INDEX(SPLIT(C400,""/| |:""),1)) + TIME(INDEX(SPLIT(C400,""/| |:""),4), INDEX(SPLIT(C400,""/| |:""),5), INDEX(SPLIT(C400,""/| |:""),6)) - DATE(1970,1,1)) * 86400)"),1.71331161E9)</f>
        <v>1713311610</v>
      </c>
    </row>
    <row r="401">
      <c r="A401" s="1" t="s">
        <v>378</v>
      </c>
      <c r="B401" s="5">
        <v>45325.99690972222</v>
      </c>
      <c r="C401" s="1" t="s">
        <v>1315</v>
      </c>
      <c r="D401" s="1" t="s">
        <v>1316</v>
      </c>
      <c r="F401" s="3">
        <f>IFERROR(__xludf.DUMMYFUNCTION("INT((DATE(INDEX(SPLIT(B401,""/| |:""),3), INDEX(SPLIT(B401,""/| |:""),2), INDEX(SPLIT(B401,""/| |:""),1)) + TIME(INDEX(SPLIT(B401,""/| |:""),4), INDEX(SPLIT(B401,""/| |:""),5), INDEX(SPLIT(B401,""/| |:""),6)) - DATE(1970,1,1)) * 86400)"),1.709423733E9)</f>
        <v>1709423733</v>
      </c>
      <c r="G401" s="3">
        <f>IFERROR(__xludf.DUMMYFUNCTION("INT((DATE(INDEX(SPLIT(C401,""/| |:""),3), INDEX(SPLIT(C401,""/| |:""),2), INDEX(SPLIT(C401,""/| |:""),1)) + TIME(INDEX(SPLIT(C401,""/| |:""),4), INDEX(SPLIT(C401,""/| |:""),5), INDEX(SPLIT(C401,""/| |:""),6)) - DATE(1970,1,1)) * 86400)"),1.713311733E9)</f>
        <v>1713311733</v>
      </c>
    </row>
    <row r="402">
      <c r="A402" s="1" t="s">
        <v>377</v>
      </c>
      <c r="B402" s="5">
        <v>45354.363703703704</v>
      </c>
      <c r="C402" s="1" t="s">
        <v>1317</v>
      </c>
      <c r="D402" s="1" t="s">
        <v>1318</v>
      </c>
      <c r="F402" s="3">
        <f>IFERROR(__xludf.DUMMYFUNCTION("INT((DATE(INDEX(SPLIT(B402,""/| |:""),3), INDEX(SPLIT(B402,""/| |:""),2), INDEX(SPLIT(B402,""/| |:""),1)) + TIME(INDEX(SPLIT(B402,""/| |:""),4), INDEX(SPLIT(B402,""/| |:""),5), INDEX(SPLIT(B402,""/| |:""),6)) - DATE(1970,1,1)) * 86400)"),1.709455424E9)</f>
        <v>1709455424</v>
      </c>
      <c r="G402" s="3">
        <f>IFERROR(__xludf.DUMMYFUNCTION("INT((DATE(INDEX(SPLIT(C402,""/| |:""),3), INDEX(SPLIT(C402,""/| |:""),2), INDEX(SPLIT(C402,""/| |:""),1)) + TIME(INDEX(SPLIT(C402,""/| |:""),4), INDEX(SPLIT(C402,""/| |:""),5), INDEX(SPLIT(C402,""/| |:""),6)) - DATE(1970,1,1)) * 86400)"),1.713343424E9)</f>
        <v>1713343424</v>
      </c>
    </row>
    <row r="403">
      <c r="A403" s="1" t="s">
        <v>126</v>
      </c>
      <c r="B403" s="5">
        <v>45354.383263888885</v>
      </c>
      <c r="C403" s="1" t="s">
        <v>1319</v>
      </c>
      <c r="D403" s="1" t="s">
        <v>1320</v>
      </c>
      <c r="F403" s="3">
        <f>IFERROR(__xludf.DUMMYFUNCTION("INT((DATE(INDEX(SPLIT(B403,""/| |:""),3), INDEX(SPLIT(B403,""/| |:""),2), INDEX(SPLIT(B403,""/| |:""),1)) + TIME(INDEX(SPLIT(B403,""/| |:""),4), INDEX(SPLIT(B403,""/| |:""),5), INDEX(SPLIT(B403,""/| |:""),6)) - DATE(1970,1,1)) * 86400)"),1.709457114E9)</f>
        <v>1709457114</v>
      </c>
      <c r="G403" s="3">
        <f>IFERROR(__xludf.DUMMYFUNCTION("INT((DATE(INDEX(SPLIT(C403,""/| |:""),3), INDEX(SPLIT(C403,""/| |:""),2), INDEX(SPLIT(C403,""/| |:""),1)) + TIME(INDEX(SPLIT(C403,""/| |:""),4), INDEX(SPLIT(C403,""/| |:""),5), INDEX(SPLIT(C403,""/| |:""),6)) - DATE(1970,1,1)) * 86400)"),1.713345114E9)</f>
        <v>1713345114</v>
      </c>
    </row>
    <row r="404">
      <c r="A404" s="1" t="s">
        <v>376</v>
      </c>
      <c r="B404" s="5">
        <v>45354.48163194444</v>
      </c>
      <c r="C404" s="1" t="s">
        <v>1321</v>
      </c>
      <c r="D404" s="1" t="s">
        <v>1322</v>
      </c>
      <c r="F404" s="3">
        <f>IFERROR(__xludf.DUMMYFUNCTION("INT((DATE(INDEX(SPLIT(B404,""/| |:""),3), INDEX(SPLIT(B404,""/| |:""),2), INDEX(SPLIT(B404,""/| |:""),1)) + TIME(INDEX(SPLIT(B404,""/| |:""),4), INDEX(SPLIT(B404,""/| |:""),5), INDEX(SPLIT(B404,""/| |:""),6)) - DATE(1970,1,1)) * 86400)"),1.709465613E9)</f>
        <v>1709465613</v>
      </c>
      <c r="G404" s="3">
        <f>IFERROR(__xludf.DUMMYFUNCTION("INT((DATE(INDEX(SPLIT(C404,""/| |:""),3), INDEX(SPLIT(C404,""/| |:""),2), INDEX(SPLIT(C404,""/| |:""),1)) + TIME(INDEX(SPLIT(C404,""/| |:""),4), INDEX(SPLIT(C404,""/| |:""),5), INDEX(SPLIT(C404,""/| |:""),6)) - DATE(1970,1,1)) * 86400)"),1.713353613E9)</f>
        <v>1713353613</v>
      </c>
    </row>
    <row r="405">
      <c r="A405" s="1" t="s">
        <v>375</v>
      </c>
      <c r="B405" s="5">
        <v>45354.530706018515</v>
      </c>
      <c r="C405" s="1" t="s">
        <v>1323</v>
      </c>
      <c r="D405" s="1" t="s">
        <v>1324</v>
      </c>
      <c r="F405" s="3">
        <f>IFERROR(__xludf.DUMMYFUNCTION("INT((DATE(INDEX(SPLIT(B405,""/| |:""),3), INDEX(SPLIT(B405,""/| |:""),2), INDEX(SPLIT(B405,""/| |:""),1)) + TIME(INDEX(SPLIT(B405,""/| |:""),4), INDEX(SPLIT(B405,""/| |:""),5), INDEX(SPLIT(B405,""/| |:""),6)) - DATE(1970,1,1)) * 86400)"),1.709469853E9)</f>
        <v>1709469853</v>
      </c>
      <c r="G405" s="3">
        <f>IFERROR(__xludf.DUMMYFUNCTION("INT((DATE(INDEX(SPLIT(C405,""/| |:""),3), INDEX(SPLIT(C405,""/| |:""),2), INDEX(SPLIT(C405,""/| |:""),1)) + TIME(INDEX(SPLIT(C405,""/| |:""),4), INDEX(SPLIT(C405,""/| |:""),5), INDEX(SPLIT(C405,""/| |:""),6)) - DATE(1970,1,1)) * 86400)"),1.713357853E9)</f>
        <v>1713357853</v>
      </c>
    </row>
    <row r="406">
      <c r="A406" s="1" t="s">
        <v>374</v>
      </c>
      <c r="B406" s="5">
        <v>45354.5415625</v>
      </c>
      <c r="C406" s="1" t="s">
        <v>1325</v>
      </c>
      <c r="D406" s="1" t="s">
        <v>1326</v>
      </c>
      <c r="F406" s="3">
        <f>IFERROR(__xludf.DUMMYFUNCTION("INT((DATE(INDEX(SPLIT(B406,""/| |:""),3), INDEX(SPLIT(B406,""/| |:""),2), INDEX(SPLIT(B406,""/| |:""),1)) + TIME(INDEX(SPLIT(B406,""/| |:""),4), INDEX(SPLIT(B406,""/| |:""),5), INDEX(SPLIT(B406,""/| |:""),6)) - DATE(1970,1,1)) * 86400)"),1.709470791E9)</f>
        <v>1709470791</v>
      </c>
      <c r="G406" s="3">
        <f>IFERROR(__xludf.DUMMYFUNCTION("INT((DATE(INDEX(SPLIT(C406,""/| |:""),3), INDEX(SPLIT(C406,""/| |:""),2), INDEX(SPLIT(C406,""/| |:""),1)) + TIME(INDEX(SPLIT(C406,""/| |:""),4), INDEX(SPLIT(C406,""/| |:""),5), INDEX(SPLIT(C406,""/| |:""),6)) - DATE(1970,1,1)) * 86400)"),1.713358791E9)</f>
        <v>1713358791</v>
      </c>
    </row>
    <row r="407">
      <c r="A407" s="1" t="s">
        <v>373</v>
      </c>
      <c r="B407" s="5">
        <v>45354.662314814814</v>
      </c>
      <c r="C407" s="1" t="s">
        <v>1327</v>
      </c>
      <c r="D407" s="1" t="s">
        <v>1328</v>
      </c>
      <c r="F407" s="3">
        <f>IFERROR(__xludf.DUMMYFUNCTION("INT((DATE(INDEX(SPLIT(B407,""/| |:""),3), INDEX(SPLIT(B407,""/| |:""),2), INDEX(SPLIT(B407,""/| |:""),1)) + TIME(INDEX(SPLIT(B407,""/| |:""),4), INDEX(SPLIT(B407,""/| |:""),5), INDEX(SPLIT(B407,""/| |:""),6)) - DATE(1970,1,1)) * 86400)"),1.709481224E9)</f>
        <v>1709481224</v>
      </c>
      <c r="G407" s="3">
        <f>IFERROR(__xludf.DUMMYFUNCTION("INT((DATE(INDEX(SPLIT(C407,""/| |:""),3), INDEX(SPLIT(C407,""/| |:""),2), INDEX(SPLIT(C407,""/| |:""),1)) + TIME(INDEX(SPLIT(C407,""/| |:""),4), INDEX(SPLIT(C407,""/| |:""),5), INDEX(SPLIT(C407,""/| |:""),6)) - DATE(1970,1,1)) * 86400)"),1.713369224E9)</f>
        <v>1713369224</v>
      </c>
    </row>
    <row r="408">
      <c r="A408" s="1" t="s">
        <v>372</v>
      </c>
      <c r="B408" s="5">
        <v>45354.6668287037</v>
      </c>
      <c r="C408" s="1" t="s">
        <v>1329</v>
      </c>
      <c r="D408" s="1" t="s">
        <v>1330</v>
      </c>
      <c r="F408" s="3">
        <f>IFERROR(__xludf.DUMMYFUNCTION("INT((DATE(INDEX(SPLIT(B408,""/| |:""),3), INDEX(SPLIT(B408,""/| |:""),2), INDEX(SPLIT(B408,""/| |:""),1)) + TIME(INDEX(SPLIT(B408,""/| |:""),4), INDEX(SPLIT(B408,""/| |:""),5), INDEX(SPLIT(B408,""/| |:""),6)) - DATE(1970,1,1)) * 86400)"),1.709481614E9)</f>
        <v>1709481614</v>
      </c>
      <c r="G408" s="3">
        <f>IFERROR(__xludf.DUMMYFUNCTION("INT((DATE(INDEX(SPLIT(C408,""/| |:""),3), INDEX(SPLIT(C408,""/| |:""),2), INDEX(SPLIT(C408,""/| |:""),1)) + TIME(INDEX(SPLIT(C408,""/| |:""),4), INDEX(SPLIT(C408,""/| |:""),5), INDEX(SPLIT(C408,""/| |:""),6)) - DATE(1970,1,1)) * 86400)"),1.713369614E9)</f>
        <v>1713369614</v>
      </c>
    </row>
    <row r="409">
      <c r="A409" s="1" t="s">
        <v>133</v>
      </c>
      <c r="B409" s="5">
        <v>45354.69810185185</v>
      </c>
      <c r="C409" s="1" t="s">
        <v>1331</v>
      </c>
      <c r="D409" s="1" t="s">
        <v>1332</v>
      </c>
      <c r="F409" s="3">
        <f>IFERROR(__xludf.DUMMYFUNCTION("INT((DATE(INDEX(SPLIT(B409,""/| |:""),3), INDEX(SPLIT(B409,""/| |:""),2), INDEX(SPLIT(B409,""/| |:""),1)) + TIME(INDEX(SPLIT(B409,""/| |:""),4), INDEX(SPLIT(B409,""/| |:""),5), INDEX(SPLIT(B409,""/| |:""),6)) - DATE(1970,1,1)) * 86400)"),1.709484316E9)</f>
        <v>1709484316</v>
      </c>
      <c r="G409" s="3">
        <f>IFERROR(__xludf.DUMMYFUNCTION("INT((DATE(INDEX(SPLIT(C409,""/| |:""),3), INDEX(SPLIT(C409,""/| |:""),2), INDEX(SPLIT(C409,""/| |:""),1)) + TIME(INDEX(SPLIT(C409,""/| |:""),4), INDEX(SPLIT(C409,""/| |:""),5), INDEX(SPLIT(C409,""/| |:""),6)) - DATE(1970,1,1)) * 86400)"),1.713372316E9)</f>
        <v>1713372316</v>
      </c>
    </row>
    <row r="410">
      <c r="A410" s="1" t="s">
        <v>371</v>
      </c>
      <c r="B410" s="5">
        <v>45354.71611111111</v>
      </c>
      <c r="C410" s="1" t="s">
        <v>1333</v>
      </c>
      <c r="D410" s="1" t="s">
        <v>1334</v>
      </c>
      <c r="F410" s="3">
        <f>IFERROR(__xludf.DUMMYFUNCTION("INT((DATE(INDEX(SPLIT(B410,""/| |:""),3), INDEX(SPLIT(B410,""/| |:""),2), INDEX(SPLIT(B410,""/| |:""),1)) + TIME(INDEX(SPLIT(B410,""/| |:""),4), INDEX(SPLIT(B410,""/| |:""),5), INDEX(SPLIT(B410,""/| |:""),6)) - DATE(1970,1,1)) * 86400)"),1.709485872E9)</f>
        <v>1709485872</v>
      </c>
      <c r="G410" s="3">
        <f>IFERROR(__xludf.DUMMYFUNCTION("INT((DATE(INDEX(SPLIT(C410,""/| |:""),3), INDEX(SPLIT(C410,""/| |:""),2), INDEX(SPLIT(C410,""/| |:""),1)) + TIME(INDEX(SPLIT(C410,""/| |:""),4), INDEX(SPLIT(C410,""/| |:""),5), INDEX(SPLIT(C410,""/| |:""),6)) - DATE(1970,1,1)) * 86400)"),1.713373872E9)</f>
        <v>1713373872</v>
      </c>
    </row>
    <row r="411">
      <c r="A411" s="1" t="s">
        <v>370</v>
      </c>
      <c r="B411" s="5">
        <v>45354.76394675926</v>
      </c>
      <c r="C411" s="1" t="s">
        <v>1335</v>
      </c>
      <c r="D411" s="1" t="s">
        <v>1336</v>
      </c>
      <c r="F411" s="3">
        <f>IFERROR(__xludf.DUMMYFUNCTION("INT((DATE(INDEX(SPLIT(B411,""/| |:""),3), INDEX(SPLIT(B411,""/| |:""),2), INDEX(SPLIT(B411,""/| |:""),1)) + TIME(INDEX(SPLIT(B411,""/| |:""),4), INDEX(SPLIT(B411,""/| |:""),5), INDEX(SPLIT(B411,""/| |:""),6)) - DATE(1970,1,1)) * 86400)"),1.709490005E9)</f>
        <v>1709490005</v>
      </c>
      <c r="G411" s="3">
        <f>IFERROR(__xludf.DUMMYFUNCTION("INT((DATE(INDEX(SPLIT(C411,""/| |:""),3), INDEX(SPLIT(C411,""/| |:""),2), INDEX(SPLIT(C411,""/| |:""),1)) + TIME(INDEX(SPLIT(C411,""/| |:""),4), INDEX(SPLIT(C411,""/| |:""),5), INDEX(SPLIT(C411,""/| |:""),6)) - DATE(1970,1,1)) * 86400)"),1.713378005E9)</f>
        <v>1713378005</v>
      </c>
    </row>
    <row r="412">
      <c r="A412" s="1" t="s">
        <v>369</v>
      </c>
      <c r="B412" s="5">
        <v>45354.82119212963</v>
      </c>
      <c r="C412" s="1" t="s">
        <v>1337</v>
      </c>
      <c r="D412" s="1" t="s">
        <v>1338</v>
      </c>
      <c r="F412" s="3">
        <f>IFERROR(__xludf.DUMMYFUNCTION("INT((DATE(INDEX(SPLIT(B412,""/| |:""),3), INDEX(SPLIT(B412,""/| |:""),2), INDEX(SPLIT(B412,""/| |:""),1)) + TIME(INDEX(SPLIT(B412,""/| |:""),4), INDEX(SPLIT(B412,""/| |:""),5), INDEX(SPLIT(B412,""/| |:""),6)) - DATE(1970,1,1)) * 86400)"),1.709494951E9)</f>
        <v>1709494951</v>
      </c>
      <c r="G412" s="3">
        <f>IFERROR(__xludf.DUMMYFUNCTION("INT((DATE(INDEX(SPLIT(C412,""/| |:""),3), INDEX(SPLIT(C412,""/| |:""),2), INDEX(SPLIT(C412,""/| |:""),1)) + TIME(INDEX(SPLIT(C412,""/| |:""),4), INDEX(SPLIT(C412,""/| |:""),5), INDEX(SPLIT(C412,""/| |:""),6)) - DATE(1970,1,1)) * 86400)"),1.713382951E9)</f>
        <v>1713382951</v>
      </c>
    </row>
    <row r="413">
      <c r="A413" s="1" t="s">
        <v>368</v>
      </c>
      <c r="B413" s="5">
        <v>45354.83082175926</v>
      </c>
      <c r="C413" s="1" t="s">
        <v>1339</v>
      </c>
      <c r="D413" s="1" t="s">
        <v>1340</v>
      </c>
      <c r="F413" s="3">
        <f>IFERROR(__xludf.DUMMYFUNCTION("INT((DATE(INDEX(SPLIT(B413,""/| |:""),3), INDEX(SPLIT(B413,""/| |:""),2), INDEX(SPLIT(B413,""/| |:""),1)) + TIME(INDEX(SPLIT(B413,""/| |:""),4), INDEX(SPLIT(B413,""/| |:""),5), INDEX(SPLIT(B413,""/| |:""),6)) - DATE(1970,1,1)) * 86400)"),1.709495783E9)</f>
        <v>1709495783</v>
      </c>
      <c r="G413" s="3">
        <f>IFERROR(__xludf.DUMMYFUNCTION("INT((DATE(INDEX(SPLIT(C413,""/| |:""),3), INDEX(SPLIT(C413,""/| |:""),2), INDEX(SPLIT(C413,""/| |:""),1)) + TIME(INDEX(SPLIT(C413,""/| |:""),4), INDEX(SPLIT(C413,""/| |:""),5), INDEX(SPLIT(C413,""/| |:""),6)) - DATE(1970,1,1)) * 86400)"),1.713383783E9)</f>
        <v>1713383783</v>
      </c>
    </row>
    <row r="414">
      <c r="A414" s="1" t="s">
        <v>367</v>
      </c>
      <c r="B414" s="5">
        <v>45354.91436342592</v>
      </c>
      <c r="C414" s="1" t="s">
        <v>1341</v>
      </c>
      <c r="D414" s="1" t="s">
        <v>1342</v>
      </c>
      <c r="F414" s="3">
        <f>IFERROR(__xludf.DUMMYFUNCTION("INT((DATE(INDEX(SPLIT(B414,""/| |:""),3), INDEX(SPLIT(B414,""/| |:""),2), INDEX(SPLIT(B414,""/| |:""),1)) + TIME(INDEX(SPLIT(B414,""/| |:""),4), INDEX(SPLIT(B414,""/| |:""),5), INDEX(SPLIT(B414,""/| |:""),6)) - DATE(1970,1,1)) * 86400)"),1.709503001E9)</f>
        <v>1709503001</v>
      </c>
      <c r="G414" s="3">
        <f>IFERROR(__xludf.DUMMYFUNCTION("INT((DATE(INDEX(SPLIT(C414,""/| |:""),3), INDEX(SPLIT(C414,""/| |:""),2), INDEX(SPLIT(C414,""/| |:""),1)) + TIME(INDEX(SPLIT(C414,""/| |:""),4), INDEX(SPLIT(C414,""/| |:""),5), INDEX(SPLIT(C414,""/| |:""),6)) - DATE(1970,1,1)) * 86400)"),1.713391001E9)</f>
        <v>1713391001</v>
      </c>
    </row>
    <row r="415">
      <c r="A415" s="1" t="s">
        <v>366</v>
      </c>
      <c r="B415" s="5">
        <v>45354.927094907405</v>
      </c>
      <c r="C415" s="1" t="s">
        <v>1343</v>
      </c>
      <c r="D415" s="1" t="s">
        <v>1344</v>
      </c>
      <c r="F415" s="3">
        <f>IFERROR(__xludf.DUMMYFUNCTION("INT((DATE(INDEX(SPLIT(B415,""/| |:""),3), INDEX(SPLIT(B415,""/| |:""),2), INDEX(SPLIT(B415,""/| |:""),1)) + TIME(INDEX(SPLIT(B415,""/| |:""),4), INDEX(SPLIT(B415,""/| |:""),5), INDEX(SPLIT(B415,""/| |:""),6)) - DATE(1970,1,1)) * 86400)"),1.709504101E9)</f>
        <v>1709504101</v>
      </c>
      <c r="G415" s="3">
        <f>IFERROR(__xludf.DUMMYFUNCTION("INT((DATE(INDEX(SPLIT(C415,""/| |:""),3), INDEX(SPLIT(C415,""/| |:""),2), INDEX(SPLIT(C415,""/| |:""),1)) + TIME(INDEX(SPLIT(C415,""/| |:""),4), INDEX(SPLIT(C415,""/| |:""),5), INDEX(SPLIT(C415,""/| |:""),6)) - DATE(1970,1,1)) * 86400)"),1.713392101E9)</f>
        <v>1713392101</v>
      </c>
    </row>
    <row r="416">
      <c r="A416" s="1" t="s">
        <v>63</v>
      </c>
      <c r="B416" s="5">
        <v>45354.93032407408</v>
      </c>
      <c r="C416" s="1" t="s">
        <v>1345</v>
      </c>
      <c r="D416" s="1" t="s">
        <v>1346</v>
      </c>
      <c r="F416" s="3">
        <f>IFERROR(__xludf.DUMMYFUNCTION("INT((DATE(INDEX(SPLIT(B416,""/| |:""),3), INDEX(SPLIT(B416,""/| |:""),2), INDEX(SPLIT(B416,""/| |:""),1)) + TIME(INDEX(SPLIT(B416,""/| |:""),4), INDEX(SPLIT(B416,""/| |:""),5), INDEX(SPLIT(B416,""/| |:""),6)) - DATE(1970,1,1)) * 86400)"),1.70950438E9)</f>
        <v>1709504380</v>
      </c>
      <c r="G416" s="3">
        <f>IFERROR(__xludf.DUMMYFUNCTION("INT((DATE(INDEX(SPLIT(C416,""/| |:""),3), INDEX(SPLIT(C416,""/| |:""),2), INDEX(SPLIT(C416,""/| |:""),1)) + TIME(INDEX(SPLIT(C416,""/| |:""),4), INDEX(SPLIT(C416,""/| |:""),5), INDEX(SPLIT(C416,""/| |:""),6)) - DATE(1970,1,1)) * 86400)"),1.71339238E9)</f>
        <v>1713392380</v>
      </c>
    </row>
    <row r="417">
      <c r="A417" s="1" t="s">
        <v>47</v>
      </c>
      <c r="B417" s="5">
        <v>45354.93299768519</v>
      </c>
      <c r="C417" s="1" t="s">
        <v>1347</v>
      </c>
      <c r="D417" s="1" t="s">
        <v>1348</v>
      </c>
      <c r="F417" s="3">
        <f>IFERROR(__xludf.DUMMYFUNCTION("INT((DATE(INDEX(SPLIT(B417,""/| |:""),3), INDEX(SPLIT(B417,""/| |:""),2), INDEX(SPLIT(B417,""/| |:""),1)) + TIME(INDEX(SPLIT(B417,""/| |:""),4), INDEX(SPLIT(B417,""/| |:""),5), INDEX(SPLIT(B417,""/| |:""),6)) - DATE(1970,1,1)) * 86400)"),1.709504611E9)</f>
        <v>1709504611</v>
      </c>
      <c r="G417" s="3">
        <f>IFERROR(__xludf.DUMMYFUNCTION("INT((DATE(INDEX(SPLIT(C417,""/| |:""),3), INDEX(SPLIT(C417,""/| |:""),2), INDEX(SPLIT(C417,""/| |:""),1)) + TIME(INDEX(SPLIT(C417,""/| |:""),4), INDEX(SPLIT(C417,""/| |:""),5), INDEX(SPLIT(C417,""/| |:""),6)) - DATE(1970,1,1)) * 86400)"),1.713392611E9)</f>
        <v>1713392611</v>
      </c>
    </row>
    <row r="418">
      <c r="A418" s="1" t="s">
        <v>47</v>
      </c>
      <c r="B418" s="5">
        <v>45354.93436342593</v>
      </c>
      <c r="C418" s="1" t="s">
        <v>1349</v>
      </c>
      <c r="D418" s="1" t="s">
        <v>1350</v>
      </c>
      <c r="F418" s="3">
        <f>IFERROR(__xludf.DUMMYFUNCTION("INT((DATE(INDEX(SPLIT(B418,""/| |:""),3), INDEX(SPLIT(B418,""/| |:""),2), INDEX(SPLIT(B418,""/| |:""),1)) + TIME(INDEX(SPLIT(B418,""/| |:""),4), INDEX(SPLIT(B418,""/| |:""),5), INDEX(SPLIT(B418,""/| |:""),6)) - DATE(1970,1,1)) * 86400)"),1.709504729E9)</f>
        <v>1709504729</v>
      </c>
      <c r="G418" s="3">
        <f>IFERROR(__xludf.DUMMYFUNCTION("INT((DATE(INDEX(SPLIT(C418,""/| |:""),3), INDEX(SPLIT(C418,""/| |:""),2), INDEX(SPLIT(C418,""/| |:""),1)) + TIME(INDEX(SPLIT(C418,""/| |:""),4), INDEX(SPLIT(C418,""/| |:""),5), INDEX(SPLIT(C418,""/| |:""),6)) - DATE(1970,1,1)) * 86400)"),1.713392729E9)</f>
        <v>1713392729</v>
      </c>
    </row>
    <row r="419">
      <c r="A419" s="1" t="s">
        <v>47</v>
      </c>
      <c r="B419" s="5">
        <v>45354.93547453704</v>
      </c>
      <c r="C419" s="1" t="s">
        <v>1351</v>
      </c>
      <c r="D419" s="1" t="s">
        <v>1352</v>
      </c>
      <c r="F419" s="3">
        <f>IFERROR(__xludf.DUMMYFUNCTION("INT((DATE(INDEX(SPLIT(B419,""/| |:""),3), INDEX(SPLIT(B419,""/| |:""),2), INDEX(SPLIT(B419,""/| |:""),1)) + TIME(INDEX(SPLIT(B419,""/| |:""),4), INDEX(SPLIT(B419,""/| |:""),5), INDEX(SPLIT(B419,""/| |:""),6)) - DATE(1970,1,1)) * 86400)"),1.709504825E9)</f>
        <v>1709504825</v>
      </c>
      <c r="G419" s="3">
        <f>IFERROR(__xludf.DUMMYFUNCTION("INT((DATE(INDEX(SPLIT(C419,""/| |:""),3), INDEX(SPLIT(C419,""/| |:""),2), INDEX(SPLIT(C419,""/| |:""),1)) + TIME(INDEX(SPLIT(C419,""/| |:""),4), INDEX(SPLIT(C419,""/| |:""),5), INDEX(SPLIT(C419,""/| |:""),6)) - DATE(1970,1,1)) * 86400)"),1.713392825E9)</f>
        <v>1713392825</v>
      </c>
    </row>
    <row r="420">
      <c r="A420" s="1" t="s">
        <v>47</v>
      </c>
      <c r="B420" s="5">
        <v>45354.93659722222</v>
      </c>
      <c r="C420" s="1" t="s">
        <v>1353</v>
      </c>
      <c r="D420" s="1" t="s">
        <v>1354</v>
      </c>
      <c r="F420" s="3">
        <f>IFERROR(__xludf.DUMMYFUNCTION("INT((DATE(INDEX(SPLIT(B420,""/| |:""),3), INDEX(SPLIT(B420,""/| |:""),2), INDEX(SPLIT(B420,""/| |:""),1)) + TIME(INDEX(SPLIT(B420,""/| |:""),4), INDEX(SPLIT(B420,""/| |:""),5), INDEX(SPLIT(B420,""/| |:""),6)) - DATE(1970,1,1)) * 86400)"),1.709504922E9)</f>
        <v>1709504922</v>
      </c>
      <c r="G420" s="3">
        <f>IFERROR(__xludf.DUMMYFUNCTION("INT((DATE(INDEX(SPLIT(C420,""/| |:""),3), INDEX(SPLIT(C420,""/| |:""),2), INDEX(SPLIT(C420,""/| |:""),1)) + TIME(INDEX(SPLIT(C420,""/| |:""),4), INDEX(SPLIT(C420,""/| |:""),5), INDEX(SPLIT(C420,""/| |:""),6)) - DATE(1970,1,1)) * 86400)"),1.713392922E9)</f>
        <v>1713392922</v>
      </c>
    </row>
    <row r="421">
      <c r="A421" s="1" t="s">
        <v>125</v>
      </c>
      <c r="B421" s="5">
        <v>45385.37358796296</v>
      </c>
      <c r="C421" s="1" t="s">
        <v>1355</v>
      </c>
      <c r="D421" s="1" t="s">
        <v>1356</v>
      </c>
      <c r="F421" s="3">
        <f>IFERROR(__xludf.DUMMYFUNCTION("INT((DATE(INDEX(SPLIT(B421,""/| |:""),3), INDEX(SPLIT(B421,""/| |:""),2), INDEX(SPLIT(B421,""/| |:""),1)) + TIME(INDEX(SPLIT(B421,""/| |:""),4), INDEX(SPLIT(B421,""/| |:""),5), INDEX(SPLIT(B421,""/| |:""),6)) - DATE(1970,1,1)) * 86400)"),1.709542678E9)</f>
        <v>1709542678</v>
      </c>
      <c r="G421" s="3">
        <f>IFERROR(__xludf.DUMMYFUNCTION("INT((DATE(INDEX(SPLIT(C421,""/| |:""),3), INDEX(SPLIT(C421,""/| |:""),2), INDEX(SPLIT(C421,""/| |:""),1)) + TIME(INDEX(SPLIT(C421,""/| |:""),4), INDEX(SPLIT(C421,""/| |:""),5), INDEX(SPLIT(C421,""/| |:""),6)) - DATE(1970,1,1)) * 86400)"),1.713430678E9)</f>
        <v>1713430678</v>
      </c>
    </row>
    <row r="422">
      <c r="A422" s="1" t="s">
        <v>365</v>
      </c>
      <c r="B422" s="5">
        <v>45385.47798611111</v>
      </c>
      <c r="C422" s="1" t="s">
        <v>1357</v>
      </c>
      <c r="D422" s="1" t="s">
        <v>1358</v>
      </c>
      <c r="F422" s="3">
        <f>IFERROR(__xludf.DUMMYFUNCTION("INT((DATE(INDEX(SPLIT(B422,""/| |:""),3), INDEX(SPLIT(B422,""/| |:""),2), INDEX(SPLIT(B422,""/| |:""),1)) + TIME(INDEX(SPLIT(B422,""/| |:""),4), INDEX(SPLIT(B422,""/| |:""),5), INDEX(SPLIT(B422,""/| |:""),6)) - DATE(1970,1,1)) * 86400)"),1.709551698E9)</f>
        <v>1709551698</v>
      </c>
      <c r="G422" s="3">
        <f>IFERROR(__xludf.DUMMYFUNCTION("INT((DATE(INDEX(SPLIT(C422,""/| |:""),3), INDEX(SPLIT(C422,""/| |:""),2), INDEX(SPLIT(C422,""/| |:""),1)) + TIME(INDEX(SPLIT(C422,""/| |:""),4), INDEX(SPLIT(C422,""/| |:""),5), INDEX(SPLIT(C422,""/| |:""),6)) - DATE(1970,1,1)) * 86400)"),1.713439698E9)</f>
        <v>1713439698</v>
      </c>
    </row>
    <row r="423">
      <c r="A423" s="1" t="s">
        <v>364</v>
      </c>
      <c r="B423" s="5">
        <v>45385.50931712963</v>
      </c>
      <c r="C423" s="1" t="s">
        <v>1359</v>
      </c>
      <c r="D423" s="1" t="s">
        <v>1360</v>
      </c>
      <c r="F423" s="3">
        <f>IFERROR(__xludf.DUMMYFUNCTION("INT((DATE(INDEX(SPLIT(B423,""/| |:""),3), INDEX(SPLIT(B423,""/| |:""),2), INDEX(SPLIT(B423,""/| |:""),1)) + TIME(INDEX(SPLIT(B423,""/| |:""),4), INDEX(SPLIT(B423,""/| |:""),5), INDEX(SPLIT(B423,""/| |:""),6)) - DATE(1970,1,1)) * 86400)"),1.709554405E9)</f>
        <v>1709554405</v>
      </c>
      <c r="G423" s="3">
        <f>IFERROR(__xludf.DUMMYFUNCTION("INT((DATE(INDEX(SPLIT(C423,""/| |:""),3), INDEX(SPLIT(C423,""/| |:""),2), INDEX(SPLIT(C423,""/| |:""),1)) + TIME(INDEX(SPLIT(C423,""/| |:""),4), INDEX(SPLIT(C423,""/| |:""),5), INDEX(SPLIT(C423,""/| |:""),6)) - DATE(1970,1,1)) * 86400)"),1.713442405E9)</f>
        <v>1713442405</v>
      </c>
    </row>
    <row r="424">
      <c r="A424" s="1" t="s">
        <v>363</v>
      </c>
      <c r="B424" s="5">
        <v>45385.51863425926</v>
      </c>
      <c r="C424" s="1" t="s">
        <v>1361</v>
      </c>
      <c r="D424" s="1" t="s">
        <v>1362</v>
      </c>
      <c r="F424" s="3">
        <f>IFERROR(__xludf.DUMMYFUNCTION("INT((DATE(INDEX(SPLIT(B424,""/| |:""),3), INDEX(SPLIT(B424,""/| |:""),2), INDEX(SPLIT(B424,""/| |:""),1)) + TIME(INDEX(SPLIT(B424,""/| |:""),4), INDEX(SPLIT(B424,""/| |:""),5), INDEX(SPLIT(B424,""/| |:""),6)) - DATE(1970,1,1)) * 86400)"),1.70955521E9)</f>
        <v>1709555210</v>
      </c>
      <c r="G424" s="3">
        <f>IFERROR(__xludf.DUMMYFUNCTION("INT((DATE(INDEX(SPLIT(C424,""/| |:""),3), INDEX(SPLIT(C424,""/| |:""),2), INDEX(SPLIT(C424,""/| |:""),1)) + TIME(INDEX(SPLIT(C424,""/| |:""),4), INDEX(SPLIT(C424,""/| |:""),5), INDEX(SPLIT(C424,""/| |:""),6)) - DATE(1970,1,1)) * 86400)"),1.71344321E9)</f>
        <v>1713443210</v>
      </c>
    </row>
    <row r="425">
      <c r="A425" s="1" t="s">
        <v>362</v>
      </c>
      <c r="B425" s="5">
        <v>45385.590682870374</v>
      </c>
      <c r="C425" s="1" t="s">
        <v>1363</v>
      </c>
      <c r="D425" s="1" t="s">
        <v>1364</v>
      </c>
      <c r="F425" s="3">
        <f>IFERROR(__xludf.DUMMYFUNCTION("INT((DATE(INDEX(SPLIT(B425,""/| |:""),3), INDEX(SPLIT(B425,""/| |:""),2), INDEX(SPLIT(B425,""/| |:""),1)) + TIME(INDEX(SPLIT(B425,""/| |:""),4), INDEX(SPLIT(B425,""/| |:""),5), INDEX(SPLIT(B425,""/| |:""),6)) - DATE(1970,1,1)) * 86400)"),1.709561435E9)</f>
        <v>1709561435</v>
      </c>
      <c r="G425" s="3">
        <f>IFERROR(__xludf.DUMMYFUNCTION("INT((DATE(INDEX(SPLIT(C425,""/| |:""),3), INDEX(SPLIT(C425,""/| |:""),2), INDEX(SPLIT(C425,""/| |:""),1)) + TIME(INDEX(SPLIT(C425,""/| |:""),4), INDEX(SPLIT(C425,""/| |:""),5), INDEX(SPLIT(C425,""/| |:""),6)) - DATE(1970,1,1)) * 86400)"),1.713449435E9)</f>
        <v>1713449435</v>
      </c>
    </row>
    <row r="426">
      <c r="A426" s="1" t="s">
        <v>361</v>
      </c>
      <c r="B426" s="5">
        <v>45385.6794212963</v>
      </c>
      <c r="C426" s="1" t="s">
        <v>1365</v>
      </c>
      <c r="D426" s="1" t="s">
        <v>1366</v>
      </c>
      <c r="F426" s="3">
        <f>IFERROR(__xludf.DUMMYFUNCTION("INT((DATE(INDEX(SPLIT(B426,""/| |:""),3), INDEX(SPLIT(B426,""/| |:""),2), INDEX(SPLIT(B426,""/| |:""),1)) + TIME(INDEX(SPLIT(B426,""/| |:""),4), INDEX(SPLIT(B426,""/| |:""),5), INDEX(SPLIT(B426,""/| |:""),6)) - DATE(1970,1,1)) * 86400)"),1.709569102E9)</f>
        <v>1709569102</v>
      </c>
      <c r="G426" s="3">
        <f>IFERROR(__xludf.DUMMYFUNCTION("INT((DATE(INDEX(SPLIT(C426,""/| |:""),3), INDEX(SPLIT(C426,""/| |:""),2), INDEX(SPLIT(C426,""/| |:""),1)) + TIME(INDEX(SPLIT(C426,""/| |:""),4), INDEX(SPLIT(C426,""/| |:""),5), INDEX(SPLIT(C426,""/| |:""),6)) - DATE(1970,1,1)) * 86400)"),1.713457102E9)</f>
        <v>1713457102</v>
      </c>
    </row>
    <row r="427">
      <c r="A427" s="1" t="s">
        <v>360</v>
      </c>
      <c r="B427" s="5">
        <v>45415.64310185185</v>
      </c>
      <c r="C427" s="1" t="s">
        <v>1367</v>
      </c>
      <c r="D427" s="1" t="s">
        <v>1368</v>
      </c>
      <c r="F427" s="3">
        <f>IFERROR(__xludf.DUMMYFUNCTION("INT((DATE(INDEX(SPLIT(B427,""/| |:""),3), INDEX(SPLIT(B427,""/| |:""),2), INDEX(SPLIT(B427,""/| |:""),1)) + TIME(INDEX(SPLIT(B427,""/| |:""),4), INDEX(SPLIT(B427,""/| |:""),5), INDEX(SPLIT(B427,""/| |:""),6)) - DATE(1970,1,1)) * 86400)"),1.709652364E9)</f>
        <v>1709652364</v>
      </c>
      <c r="G427" s="3">
        <f>IFERROR(__xludf.DUMMYFUNCTION("INT((DATE(INDEX(SPLIT(C427,""/| |:""),3), INDEX(SPLIT(C427,""/| |:""),2), INDEX(SPLIT(C427,""/| |:""),1)) + TIME(INDEX(SPLIT(C427,""/| |:""),4), INDEX(SPLIT(C427,""/| |:""),5), INDEX(SPLIT(C427,""/| |:""),6)) - DATE(1970,1,1)) * 86400)"),1.713540364E9)</f>
        <v>1713540364</v>
      </c>
    </row>
    <row r="428">
      <c r="A428" s="1" t="s">
        <v>359</v>
      </c>
      <c r="B428" s="5">
        <v>45415.664606481485</v>
      </c>
      <c r="C428" s="1" t="s">
        <v>1369</v>
      </c>
      <c r="D428" s="1" t="s">
        <v>1370</v>
      </c>
      <c r="F428" s="3">
        <f>IFERROR(__xludf.DUMMYFUNCTION("INT((DATE(INDEX(SPLIT(B428,""/| |:""),3), INDEX(SPLIT(B428,""/| |:""),2), INDEX(SPLIT(B428,""/| |:""),1)) + TIME(INDEX(SPLIT(B428,""/| |:""),4), INDEX(SPLIT(B428,""/| |:""),5), INDEX(SPLIT(B428,""/| |:""),6)) - DATE(1970,1,1)) * 86400)"),1.709654222E9)</f>
        <v>1709654222</v>
      </c>
      <c r="G428" s="3">
        <f>IFERROR(__xludf.DUMMYFUNCTION("INT((DATE(INDEX(SPLIT(C428,""/| |:""),3), INDEX(SPLIT(C428,""/| |:""),2), INDEX(SPLIT(C428,""/| |:""),1)) + TIME(INDEX(SPLIT(C428,""/| |:""),4), INDEX(SPLIT(C428,""/| |:""),5), INDEX(SPLIT(C428,""/| |:""),6)) - DATE(1970,1,1)) * 86400)"),1.713542222E9)</f>
        <v>1713542222</v>
      </c>
    </row>
    <row r="429">
      <c r="A429" s="1" t="s">
        <v>125</v>
      </c>
      <c r="B429" s="5">
        <v>45415.731828703705</v>
      </c>
      <c r="C429" s="1" t="s">
        <v>1371</v>
      </c>
      <c r="D429" s="1" t="s">
        <v>1372</v>
      </c>
      <c r="F429" s="3">
        <f>IFERROR(__xludf.DUMMYFUNCTION("INT((DATE(INDEX(SPLIT(B429,""/| |:""),3), INDEX(SPLIT(B429,""/| |:""),2), INDEX(SPLIT(B429,""/| |:""),1)) + TIME(INDEX(SPLIT(B429,""/| |:""),4), INDEX(SPLIT(B429,""/| |:""),5), INDEX(SPLIT(B429,""/| |:""),6)) - DATE(1970,1,1)) * 86400)"),1.70966003E9)</f>
        <v>1709660030</v>
      </c>
      <c r="G429" s="3">
        <f>IFERROR(__xludf.DUMMYFUNCTION("INT((DATE(INDEX(SPLIT(C429,""/| |:""),3), INDEX(SPLIT(C429,""/| |:""),2), INDEX(SPLIT(C429,""/| |:""),1)) + TIME(INDEX(SPLIT(C429,""/| |:""),4), INDEX(SPLIT(C429,""/| |:""),5), INDEX(SPLIT(C429,""/| |:""),6)) - DATE(1970,1,1)) * 86400)"),1.71354803E9)</f>
        <v>1713548030</v>
      </c>
    </row>
    <row r="430">
      <c r="A430" s="1" t="s">
        <v>358</v>
      </c>
      <c r="B430" s="5">
        <v>45415.92815972222</v>
      </c>
      <c r="C430" s="1" t="s">
        <v>1373</v>
      </c>
      <c r="D430" s="1" t="s">
        <v>1374</v>
      </c>
      <c r="F430" s="3">
        <f>IFERROR(__xludf.DUMMYFUNCTION("INT((DATE(INDEX(SPLIT(B430,""/| |:""),3), INDEX(SPLIT(B430,""/| |:""),2), INDEX(SPLIT(B430,""/| |:""),1)) + TIME(INDEX(SPLIT(B430,""/| |:""),4), INDEX(SPLIT(B430,""/| |:""),5), INDEX(SPLIT(B430,""/| |:""),6)) - DATE(1970,1,1)) * 86400)"),1.709676993E9)</f>
        <v>1709676993</v>
      </c>
      <c r="G430" s="3">
        <f>IFERROR(__xludf.DUMMYFUNCTION("INT((DATE(INDEX(SPLIT(C430,""/| |:""),3), INDEX(SPLIT(C430,""/| |:""),2), INDEX(SPLIT(C430,""/| |:""),1)) + TIME(INDEX(SPLIT(C430,""/| |:""),4), INDEX(SPLIT(C430,""/| |:""),5), INDEX(SPLIT(C430,""/| |:""),6)) - DATE(1970,1,1)) * 86400)"),1.713564993E9)</f>
        <v>1713564993</v>
      </c>
    </row>
    <row r="431">
      <c r="A431" s="1" t="s">
        <v>24</v>
      </c>
      <c r="B431" s="5">
        <v>45415.96436342593</v>
      </c>
      <c r="C431" s="1" t="s">
        <v>1375</v>
      </c>
      <c r="D431" s="1" t="s">
        <v>1376</v>
      </c>
      <c r="F431" s="3">
        <f>IFERROR(__xludf.DUMMYFUNCTION("INT((DATE(INDEX(SPLIT(B431,""/| |:""),3), INDEX(SPLIT(B431,""/| |:""),2), INDEX(SPLIT(B431,""/| |:""),1)) + TIME(INDEX(SPLIT(B431,""/| |:""),4), INDEX(SPLIT(B431,""/| |:""),5), INDEX(SPLIT(B431,""/| |:""),6)) - DATE(1970,1,1)) * 86400)"),1.709680121E9)</f>
        <v>1709680121</v>
      </c>
      <c r="G431" s="3">
        <f>IFERROR(__xludf.DUMMYFUNCTION("INT((DATE(INDEX(SPLIT(C431,""/| |:""),3), INDEX(SPLIT(C431,""/| |:""),2), INDEX(SPLIT(C431,""/| |:""),1)) + TIME(INDEX(SPLIT(C431,""/| |:""),4), INDEX(SPLIT(C431,""/| |:""),5), INDEX(SPLIT(C431,""/| |:""),6)) - DATE(1970,1,1)) * 86400)"),1.713568121E9)</f>
        <v>1713568121</v>
      </c>
    </row>
    <row r="432">
      <c r="A432" s="1" t="s">
        <v>357</v>
      </c>
      <c r="B432" s="5">
        <v>45446.388761574075</v>
      </c>
      <c r="C432" s="1" t="s">
        <v>1377</v>
      </c>
      <c r="D432" s="1" t="s">
        <v>1378</v>
      </c>
      <c r="F432" s="3">
        <f>IFERROR(__xludf.DUMMYFUNCTION("INT((DATE(INDEX(SPLIT(B432,""/| |:""),3), INDEX(SPLIT(B432,""/| |:""),2), INDEX(SPLIT(B432,""/| |:""),1)) + TIME(INDEX(SPLIT(B432,""/| |:""),4), INDEX(SPLIT(B432,""/| |:""),5), INDEX(SPLIT(B432,""/| |:""),6)) - DATE(1970,1,1)) * 86400)"),1.709716789E9)</f>
        <v>1709716789</v>
      </c>
      <c r="G432" s="3">
        <f>IFERROR(__xludf.DUMMYFUNCTION("INT((DATE(INDEX(SPLIT(C432,""/| |:""),3), INDEX(SPLIT(C432,""/| |:""),2), INDEX(SPLIT(C432,""/| |:""),1)) + TIME(INDEX(SPLIT(C432,""/| |:""),4), INDEX(SPLIT(C432,""/| |:""),5), INDEX(SPLIT(C432,""/| |:""),6)) - DATE(1970,1,1)) * 86400)"),1.713604789E9)</f>
        <v>1713604789</v>
      </c>
    </row>
    <row r="433">
      <c r="A433" s="1" t="s">
        <v>356</v>
      </c>
      <c r="B433" s="5">
        <v>45446.50305555556</v>
      </c>
      <c r="C433" s="1" t="s">
        <v>1379</v>
      </c>
      <c r="D433" s="1" t="s">
        <v>1380</v>
      </c>
      <c r="F433" s="3">
        <f>IFERROR(__xludf.DUMMYFUNCTION("INT((DATE(INDEX(SPLIT(B433,""/| |:""),3), INDEX(SPLIT(B433,""/| |:""),2), INDEX(SPLIT(B433,""/| |:""),1)) + TIME(INDEX(SPLIT(B433,""/| |:""),4), INDEX(SPLIT(B433,""/| |:""),5), INDEX(SPLIT(B433,""/| |:""),6)) - DATE(1970,1,1)) * 86400)"),1.709726664E9)</f>
        <v>1709726664</v>
      </c>
      <c r="G433" s="3">
        <f>IFERROR(__xludf.DUMMYFUNCTION("INT((DATE(INDEX(SPLIT(C433,""/| |:""),3), INDEX(SPLIT(C433,""/| |:""),2), INDEX(SPLIT(C433,""/| |:""),1)) + TIME(INDEX(SPLIT(C433,""/| |:""),4), INDEX(SPLIT(C433,""/| |:""),5), INDEX(SPLIT(C433,""/| |:""),6)) - DATE(1970,1,1)) * 86400)"),1.713614664E9)</f>
        <v>1713614664</v>
      </c>
    </row>
    <row r="434">
      <c r="A434" s="1" t="s">
        <v>131</v>
      </c>
      <c r="B434" s="5">
        <v>45446.50478009259</v>
      </c>
      <c r="C434" s="1" t="s">
        <v>1381</v>
      </c>
      <c r="D434" s="1" t="s">
        <v>1382</v>
      </c>
      <c r="F434" s="3">
        <f>IFERROR(__xludf.DUMMYFUNCTION("INT((DATE(INDEX(SPLIT(B434,""/| |:""),3), INDEX(SPLIT(B434,""/| |:""),2), INDEX(SPLIT(B434,""/| |:""),1)) + TIME(INDEX(SPLIT(B434,""/| |:""),4), INDEX(SPLIT(B434,""/| |:""),5), INDEX(SPLIT(B434,""/| |:""),6)) - DATE(1970,1,1)) * 86400)"),1.709726813E9)</f>
        <v>1709726813</v>
      </c>
      <c r="G434" s="3">
        <f>IFERROR(__xludf.DUMMYFUNCTION("INT((DATE(INDEX(SPLIT(C434,""/| |:""),3), INDEX(SPLIT(C434,""/| |:""),2), INDEX(SPLIT(C434,""/| |:""),1)) + TIME(INDEX(SPLIT(C434,""/| |:""),4), INDEX(SPLIT(C434,""/| |:""),5), INDEX(SPLIT(C434,""/| |:""),6)) - DATE(1970,1,1)) * 86400)"),1.713614813E9)</f>
        <v>1713614813</v>
      </c>
    </row>
    <row r="435">
      <c r="A435" s="1" t="s">
        <v>134</v>
      </c>
      <c r="B435" s="5">
        <v>45446.51619212963</v>
      </c>
      <c r="C435" s="1" t="s">
        <v>1383</v>
      </c>
      <c r="D435" s="1" t="s">
        <v>1384</v>
      </c>
      <c r="F435" s="3">
        <f>IFERROR(__xludf.DUMMYFUNCTION("INT((DATE(INDEX(SPLIT(B435,""/| |:""),3), INDEX(SPLIT(B435,""/| |:""),2), INDEX(SPLIT(B435,""/| |:""),1)) + TIME(INDEX(SPLIT(B435,""/| |:""),4), INDEX(SPLIT(B435,""/| |:""),5), INDEX(SPLIT(B435,""/| |:""),6)) - DATE(1970,1,1)) * 86400)"),1.709727799E9)</f>
        <v>1709727799</v>
      </c>
      <c r="G435" s="3">
        <f>IFERROR(__xludf.DUMMYFUNCTION("INT((DATE(INDEX(SPLIT(C435,""/| |:""),3), INDEX(SPLIT(C435,""/| |:""),2), INDEX(SPLIT(C435,""/| |:""),1)) + TIME(INDEX(SPLIT(C435,""/| |:""),4), INDEX(SPLIT(C435,""/| |:""),5), INDEX(SPLIT(C435,""/| |:""),6)) - DATE(1970,1,1)) * 86400)"),1.713615799E9)</f>
        <v>1713615799</v>
      </c>
    </row>
    <row r="436">
      <c r="A436" s="1" t="s">
        <v>355</v>
      </c>
      <c r="B436" s="5">
        <v>45446.5616087963</v>
      </c>
      <c r="C436" s="1" t="s">
        <v>1385</v>
      </c>
      <c r="D436" s="1" t="s">
        <v>1386</v>
      </c>
      <c r="F436" s="3">
        <f>IFERROR(__xludf.DUMMYFUNCTION("INT((DATE(INDEX(SPLIT(B436,""/| |:""),3), INDEX(SPLIT(B436,""/| |:""),2), INDEX(SPLIT(B436,""/| |:""),1)) + TIME(INDEX(SPLIT(B436,""/| |:""),4), INDEX(SPLIT(B436,""/| |:""),5), INDEX(SPLIT(B436,""/| |:""),6)) - DATE(1970,1,1)) * 86400)"),1.709731723E9)</f>
        <v>1709731723</v>
      </c>
      <c r="G436" s="3">
        <f>IFERROR(__xludf.DUMMYFUNCTION("INT((DATE(INDEX(SPLIT(C436,""/| |:""),3), INDEX(SPLIT(C436,""/| |:""),2), INDEX(SPLIT(C436,""/| |:""),1)) + TIME(INDEX(SPLIT(C436,""/| |:""),4), INDEX(SPLIT(C436,""/| |:""),5), INDEX(SPLIT(C436,""/| |:""),6)) - DATE(1970,1,1)) * 86400)"),1.713619723E9)</f>
        <v>1713619723</v>
      </c>
    </row>
    <row r="437">
      <c r="A437" s="1" t="s">
        <v>354</v>
      </c>
      <c r="B437" s="5">
        <v>45446.56434027778</v>
      </c>
      <c r="C437" s="1" t="s">
        <v>1387</v>
      </c>
      <c r="D437" s="1" t="s">
        <v>1388</v>
      </c>
      <c r="F437" s="3">
        <f>IFERROR(__xludf.DUMMYFUNCTION("INT((DATE(INDEX(SPLIT(B437,""/| |:""),3), INDEX(SPLIT(B437,""/| |:""),2), INDEX(SPLIT(B437,""/| |:""),1)) + TIME(INDEX(SPLIT(B437,""/| |:""),4), INDEX(SPLIT(B437,""/| |:""),5), INDEX(SPLIT(B437,""/| |:""),6)) - DATE(1970,1,1)) * 86400)"),1.709731959E9)</f>
        <v>1709731959</v>
      </c>
      <c r="G437" s="3">
        <f>IFERROR(__xludf.DUMMYFUNCTION("INT((DATE(INDEX(SPLIT(C437,""/| |:""),3), INDEX(SPLIT(C437,""/| |:""),2), INDEX(SPLIT(C437,""/| |:""),1)) + TIME(INDEX(SPLIT(C437,""/| |:""),4), INDEX(SPLIT(C437,""/| |:""),5), INDEX(SPLIT(C437,""/| |:""),6)) - DATE(1970,1,1)) * 86400)"),1.713619959E9)</f>
        <v>1713619959</v>
      </c>
    </row>
    <row r="438">
      <c r="A438" s="1" t="s">
        <v>353</v>
      </c>
      <c r="B438" s="5">
        <v>45446.643379629626</v>
      </c>
      <c r="C438" s="1" t="s">
        <v>1389</v>
      </c>
      <c r="D438" s="1" t="s">
        <v>1390</v>
      </c>
      <c r="F438" s="3">
        <f>IFERROR(__xludf.DUMMYFUNCTION("INT((DATE(INDEX(SPLIT(B438,""/| |:""),3), INDEX(SPLIT(B438,""/| |:""),2), INDEX(SPLIT(B438,""/| |:""),1)) + TIME(INDEX(SPLIT(B438,""/| |:""),4), INDEX(SPLIT(B438,""/| |:""),5), INDEX(SPLIT(B438,""/| |:""),6)) - DATE(1970,1,1)) * 86400)"),1.709738788E9)</f>
        <v>1709738788</v>
      </c>
      <c r="G438" s="3">
        <f>IFERROR(__xludf.DUMMYFUNCTION("INT((DATE(INDEX(SPLIT(C438,""/| |:""),3), INDEX(SPLIT(C438,""/| |:""),2), INDEX(SPLIT(C438,""/| |:""),1)) + TIME(INDEX(SPLIT(C438,""/| |:""),4), INDEX(SPLIT(C438,""/| |:""),5), INDEX(SPLIT(C438,""/| |:""),6)) - DATE(1970,1,1)) * 86400)"),1.713626788E9)</f>
        <v>1713626788</v>
      </c>
    </row>
    <row r="439">
      <c r="A439" s="1" t="s">
        <v>352</v>
      </c>
      <c r="B439" s="5">
        <v>45446.73709490741</v>
      </c>
      <c r="C439" s="1" t="s">
        <v>1391</v>
      </c>
      <c r="D439" s="1" t="s">
        <v>1392</v>
      </c>
      <c r="F439" s="3">
        <f>IFERROR(__xludf.DUMMYFUNCTION("INT((DATE(INDEX(SPLIT(B439,""/| |:""),3), INDEX(SPLIT(B439,""/| |:""),2), INDEX(SPLIT(B439,""/| |:""),1)) + TIME(INDEX(SPLIT(B439,""/| |:""),4), INDEX(SPLIT(B439,""/| |:""),5), INDEX(SPLIT(B439,""/| |:""),6)) - DATE(1970,1,1)) * 86400)"),1.709746885E9)</f>
        <v>1709746885</v>
      </c>
      <c r="G439" s="3">
        <f>IFERROR(__xludf.DUMMYFUNCTION("INT((DATE(INDEX(SPLIT(C439,""/| |:""),3), INDEX(SPLIT(C439,""/| |:""),2), INDEX(SPLIT(C439,""/| |:""),1)) + TIME(INDEX(SPLIT(C439,""/| |:""),4), INDEX(SPLIT(C439,""/| |:""),5), INDEX(SPLIT(C439,""/| |:""),6)) - DATE(1970,1,1)) * 86400)"),1.713634885E9)</f>
        <v>1713634885</v>
      </c>
    </row>
    <row r="440">
      <c r="A440" s="1" t="s">
        <v>351</v>
      </c>
      <c r="B440" s="5">
        <v>45446.811898148146</v>
      </c>
      <c r="C440" s="1" t="s">
        <v>1393</v>
      </c>
      <c r="D440" s="1" t="s">
        <v>1394</v>
      </c>
      <c r="F440" s="3">
        <f>IFERROR(__xludf.DUMMYFUNCTION("INT((DATE(INDEX(SPLIT(B440,""/| |:""),3), INDEX(SPLIT(B440,""/| |:""),2), INDEX(SPLIT(B440,""/| |:""),1)) + TIME(INDEX(SPLIT(B440,""/| |:""),4), INDEX(SPLIT(B440,""/| |:""),5), INDEX(SPLIT(B440,""/| |:""),6)) - DATE(1970,1,1)) * 86400)"),1.709753348E9)</f>
        <v>1709753348</v>
      </c>
      <c r="G440" s="3">
        <f>IFERROR(__xludf.DUMMYFUNCTION("INT((DATE(INDEX(SPLIT(C440,""/| |:""),3), INDEX(SPLIT(C440,""/| |:""),2), INDEX(SPLIT(C440,""/| |:""),1)) + TIME(INDEX(SPLIT(C440,""/| |:""),4), INDEX(SPLIT(C440,""/| |:""),5), INDEX(SPLIT(C440,""/| |:""),6)) - DATE(1970,1,1)) * 86400)"),1.713641348E9)</f>
        <v>1713641348</v>
      </c>
    </row>
    <row r="441">
      <c r="A441" s="1" t="s">
        <v>62</v>
      </c>
      <c r="B441" s="5">
        <v>45446.8169212963</v>
      </c>
      <c r="C441" s="1" t="s">
        <v>1395</v>
      </c>
      <c r="D441" s="1" t="s">
        <v>1396</v>
      </c>
      <c r="F441" s="3">
        <f>IFERROR(__xludf.DUMMYFUNCTION("INT((DATE(INDEX(SPLIT(B441,""/| |:""),3), INDEX(SPLIT(B441,""/| |:""),2), INDEX(SPLIT(B441,""/| |:""),1)) + TIME(INDEX(SPLIT(B441,""/| |:""),4), INDEX(SPLIT(B441,""/| |:""),5), INDEX(SPLIT(B441,""/| |:""),6)) - DATE(1970,1,1)) * 86400)"),1.709753782E9)</f>
        <v>1709753782</v>
      </c>
      <c r="G441" s="3">
        <f>IFERROR(__xludf.DUMMYFUNCTION("INT((DATE(INDEX(SPLIT(C441,""/| |:""),3), INDEX(SPLIT(C441,""/| |:""),2), INDEX(SPLIT(C441,""/| |:""),1)) + TIME(INDEX(SPLIT(C441,""/| |:""),4), INDEX(SPLIT(C441,""/| |:""),5), INDEX(SPLIT(C441,""/| |:""),6)) - DATE(1970,1,1)) * 86400)"),1.713641782E9)</f>
        <v>1713641782</v>
      </c>
    </row>
    <row r="442">
      <c r="A442" s="1" t="s">
        <v>350</v>
      </c>
      <c r="B442" s="5">
        <v>45446.87127314815</v>
      </c>
      <c r="C442" s="1" t="s">
        <v>1397</v>
      </c>
      <c r="D442" s="1" t="s">
        <v>1398</v>
      </c>
      <c r="F442" s="3">
        <f>IFERROR(__xludf.DUMMYFUNCTION("INT((DATE(INDEX(SPLIT(B442,""/| |:""),3), INDEX(SPLIT(B442,""/| |:""),2), INDEX(SPLIT(B442,""/| |:""),1)) + TIME(INDEX(SPLIT(B442,""/| |:""),4), INDEX(SPLIT(B442,""/| |:""),5), INDEX(SPLIT(B442,""/| |:""),6)) - DATE(1970,1,1)) * 86400)"),1.709758478E9)</f>
        <v>1709758478</v>
      </c>
      <c r="G442" s="3">
        <f>IFERROR(__xludf.DUMMYFUNCTION("INT((DATE(INDEX(SPLIT(C442,""/| |:""),3), INDEX(SPLIT(C442,""/| |:""),2), INDEX(SPLIT(C442,""/| |:""),1)) + TIME(INDEX(SPLIT(C442,""/| |:""),4), INDEX(SPLIT(C442,""/| |:""),5), INDEX(SPLIT(C442,""/| |:""),6)) - DATE(1970,1,1)) * 86400)"),1.713646478E9)</f>
        <v>1713646478</v>
      </c>
    </row>
    <row r="443">
      <c r="A443" s="1" t="s">
        <v>349</v>
      </c>
      <c r="B443" s="5">
        <v>45446.91150462963</v>
      </c>
      <c r="C443" s="1" t="s">
        <v>1399</v>
      </c>
      <c r="D443" s="1" t="s">
        <v>1400</v>
      </c>
      <c r="F443" s="3">
        <f>IFERROR(__xludf.DUMMYFUNCTION("INT((DATE(INDEX(SPLIT(B443,""/| |:""),3), INDEX(SPLIT(B443,""/| |:""),2), INDEX(SPLIT(B443,""/| |:""),1)) + TIME(INDEX(SPLIT(B443,""/| |:""),4), INDEX(SPLIT(B443,""/| |:""),5), INDEX(SPLIT(B443,""/| |:""),6)) - DATE(1970,1,1)) * 86400)"),1.709761954E9)</f>
        <v>1709761954</v>
      </c>
      <c r="G443" s="3">
        <f>IFERROR(__xludf.DUMMYFUNCTION("INT((DATE(INDEX(SPLIT(C443,""/| |:""),3), INDEX(SPLIT(C443,""/| |:""),2), INDEX(SPLIT(C443,""/| |:""),1)) + TIME(INDEX(SPLIT(C443,""/| |:""),4), INDEX(SPLIT(C443,""/| |:""),5), INDEX(SPLIT(C443,""/| |:""),6)) - DATE(1970,1,1)) * 86400)"),1.713649954E9)</f>
        <v>1713649954</v>
      </c>
    </row>
    <row r="444">
      <c r="A444" s="1" t="s">
        <v>348</v>
      </c>
      <c r="B444" s="5">
        <v>45446.93984953704</v>
      </c>
      <c r="C444" s="1" t="s">
        <v>1401</v>
      </c>
      <c r="D444" s="1" t="s">
        <v>1402</v>
      </c>
      <c r="F444" s="3">
        <f>IFERROR(__xludf.DUMMYFUNCTION("INT((DATE(INDEX(SPLIT(B444,""/| |:""),3), INDEX(SPLIT(B444,""/| |:""),2), INDEX(SPLIT(B444,""/| |:""),1)) + TIME(INDEX(SPLIT(B444,""/| |:""),4), INDEX(SPLIT(B444,""/| |:""),5), INDEX(SPLIT(B444,""/| |:""),6)) - DATE(1970,1,1)) * 86400)"),1.709764403E9)</f>
        <v>1709764403</v>
      </c>
      <c r="G444" s="3">
        <f>IFERROR(__xludf.DUMMYFUNCTION("INT((DATE(INDEX(SPLIT(C444,""/| |:""),3), INDEX(SPLIT(C444,""/| |:""),2), INDEX(SPLIT(C444,""/| |:""),1)) + TIME(INDEX(SPLIT(C444,""/| |:""),4), INDEX(SPLIT(C444,""/| |:""),5), INDEX(SPLIT(C444,""/| |:""),6)) - DATE(1970,1,1)) * 86400)"),1.713652403E9)</f>
        <v>1713652403</v>
      </c>
    </row>
    <row r="445">
      <c r="A445" s="1" t="s">
        <v>347</v>
      </c>
      <c r="B445" s="5">
        <v>45446.940833333334</v>
      </c>
      <c r="C445" s="1" t="s">
        <v>1403</v>
      </c>
      <c r="D445" s="1" t="s">
        <v>1404</v>
      </c>
      <c r="F445" s="3">
        <f>IFERROR(__xludf.DUMMYFUNCTION("INT((DATE(INDEX(SPLIT(B445,""/| |:""),3), INDEX(SPLIT(B445,""/| |:""),2), INDEX(SPLIT(B445,""/| |:""),1)) + TIME(INDEX(SPLIT(B445,""/| |:""),4), INDEX(SPLIT(B445,""/| |:""),5), INDEX(SPLIT(B445,""/| |:""),6)) - DATE(1970,1,1)) * 86400)"),1.709764488E9)</f>
        <v>1709764488</v>
      </c>
      <c r="G445" s="3">
        <f>IFERROR(__xludf.DUMMYFUNCTION("INT((DATE(INDEX(SPLIT(C445,""/| |:""),3), INDEX(SPLIT(C445,""/| |:""),2), INDEX(SPLIT(C445,""/| |:""),1)) + TIME(INDEX(SPLIT(C445,""/| |:""),4), INDEX(SPLIT(C445,""/| |:""),5), INDEX(SPLIT(C445,""/| |:""),6)) - DATE(1970,1,1)) * 86400)"),1.713652488E9)</f>
        <v>1713652488</v>
      </c>
    </row>
    <row r="446">
      <c r="A446" s="1" t="s">
        <v>346</v>
      </c>
      <c r="B446" s="5">
        <v>45446.95261574074</v>
      </c>
      <c r="C446" s="1" t="s">
        <v>1405</v>
      </c>
      <c r="D446" s="1" t="s">
        <v>1406</v>
      </c>
      <c r="F446" s="3">
        <f>IFERROR(__xludf.DUMMYFUNCTION("INT((DATE(INDEX(SPLIT(B446,""/| |:""),3), INDEX(SPLIT(B446,""/| |:""),2), INDEX(SPLIT(B446,""/| |:""),1)) + TIME(INDEX(SPLIT(B446,""/| |:""),4), INDEX(SPLIT(B446,""/| |:""),5), INDEX(SPLIT(B446,""/| |:""),6)) - DATE(1970,1,1)) * 86400)"),1.709765506E9)</f>
        <v>1709765506</v>
      </c>
      <c r="G446" s="3">
        <f>IFERROR(__xludf.DUMMYFUNCTION("INT((DATE(INDEX(SPLIT(C446,""/| |:""),3), INDEX(SPLIT(C446,""/| |:""),2), INDEX(SPLIT(C446,""/| |:""),1)) + TIME(INDEX(SPLIT(C446,""/| |:""),4), INDEX(SPLIT(C446,""/| |:""),5), INDEX(SPLIT(C446,""/| |:""),6)) - DATE(1970,1,1)) * 86400)"),1.713653506E9)</f>
        <v>1713653506</v>
      </c>
    </row>
    <row r="447">
      <c r="A447" s="1" t="s">
        <v>345</v>
      </c>
      <c r="B447" s="5">
        <v>45476.34017361111</v>
      </c>
      <c r="C447" s="1" t="s">
        <v>1407</v>
      </c>
      <c r="D447" s="1" t="s">
        <v>1408</v>
      </c>
      <c r="F447" s="3">
        <f>IFERROR(__xludf.DUMMYFUNCTION("INT((DATE(INDEX(SPLIT(B447,""/| |:""),3), INDEX(SPLIT(B447,""/| |:""),2), INDEX(SPLIT(B447,""/| |:""),1)) + TIME(INDEX(SPLIT(B447,""/| |:""),4), INDEX(SPLIT(B447,""/| |:""),5), INDEX(SPLIT(B447,""/| |:""),6)) - DATE(1970,1,1)) * 86400)"),1.709798991E9)</f>
        <v>1709798991</v>
      </c>
      <c r="G447" s="3">
        <f>IFERROR(__xludf.DUMMYFUNCTION("INT((DATE(INDEX(SPLIT(C447,""/| |:""),3), INDEX(SPLIT(C447,""/| |:""),2), INDEX(SPLIT(C447,""/| |:""),1)) + TIME(INDEX(SPLIT(C447,""/| |:""),4), INDEX(SPLIT(C447,""/| |:""),5), INDEX(SPLIT(C447,""/| |:""),6)) - DATE(1970,1,1)) * 86400)"),1.713686991E9)</f>
        <v>1713686991</v>
      </c>
    </row>
    <row r="448">
      <c r="A448" s="1" t="s">
        <v>344</v>
      </c>
      <c r="B448" s="5">
        <v>45476.63018518518</v>
      </c>
      <c r="C448" s="1" t="s">
        <v>1409</v>
      </c>
      <c r="D448" s="1" t="s">
        <v>1410</v>
      </c>
      <c r="F448" s="3">
        <f>IFERROR(__xludf.DUMMYFUNCTION("INT((DATE(INDEX(SPLIT(B448,""/| |:""),3), INDEX(SPLIT(B448,""/| |:""),2), INDEX(SPLIT(B448,""/| |:""),1)) + TIME(INDEX(SPLIT(B448,""/| |:""),4), INDEX(SPLIT(B448,""/| |:""),5), INDEX(SPLIT(B448,""/| |:""),6)) - DATE(1970,1,1)) * 86400)"),1.709824048E9)</f>
        <v>1709824048</v>
      </c>
      <c r="G448" s="3">
        <f>IFERROR(__xludf.DUMMYFUNCTION("INT((DATE(INDEX(SPLIT(C448,""/| |:""),3), INDEX(SPLIT(C448,""/| |:""),2), INDEX(SPLIT(C448,""/| |:""),1)) + TIME(INDEX(SPLIT(C448,""/| |:""),4), INDEX(SPLIT(C448,""/| |:""),5), INDEX(SPLIT(C448,""/| |:""),6)) - DATE(1970,1,1)) * 86400)"),1.713712048E9)</f>
        <v>1713712048</v>
      </c>
    </row>
    <row r="449">
      <c r="A449" s="1" t="s">
        <v>83</v>
      </c>
      <c r="B449" s="5">
        <v>45507.415671296294</v>
      </c>
      <c r="C449" s="1" t="s">
        <v>1411</v>
      </c>
      <c r="D449" s="1" t="s">
        <v>1412</v>
      </c>
      <c r="F449" s="3">
        <f>IFERROR(__xludf.DUMMYFUNCTION("INT((DATE(INDEX(SPLIT(B449,""/| |:""),3), INDEX(SPLIT(B449,""/| |:""),2), INDEX(SPLIT(B449,""/| |:""),1)) + TIME(INDEX(SPLIT(B449,""/| |:""),4), INDEX(SPLIT(B449,""/| |:""),5), INDEX(SPLIT(B449,""/| |:""),6)) - DATE(1970,1,1)) * 86400)"),1.709891914E9)</f>
        <v>1709891914</v>
      </c>
      <c r="G449" s="3">
        <f>IFERROR(__xludf.DUMMYFUNCTION("INT((DATE(INDEX(SPLIT(C449,""/| |:""),3), INDEX(SPLIT(C449,""/| |:""),2), INDEX(SPLIT(C449,""/| |:""),1)) + TIME(INDEX(SPLIT(C449,""/| |:""),4), INDEX(SPLIT(C449,""/| |:""),5), INDEX(SPLIT(C449,""/| |:""),6)) - DATE(1970,1,1)) * 86400)"),1.713779914E9)</f>
        <v>1713779914</v>
      </c>
    </row>
    <row r="450">
      <c r="A450" s="1" t="s">
        <v>343</v>
      </c>
      <c r="B450" s="5">
        <v>45507.51291666667</v>
      </c>
      <c r="C450" s="1" t="s">
        <v>1413</v>
      </c>
      <c r="D450" s="1" t="s">
        <v>1414</v>
      </c>
      <c r="F450" s="3">
        <f>IFERROR(__xludf.DUMMYFUNCTION("INT((DATE(INDEX(SPLIT(B450,""/| |:""),3), INDEX(SPLIT(B450,""/| |:""),2), INDEX(SPLIT(B450,""/| |:""),1)) + TIME(INDEX(SPLIT(B450,""/| |:""),4), INDEX(SPLIT(B450,""/| |:""),5), INDEX(SPLIT(B450,""/| |:""),6)) - DATE(1970,1,1)) * 86400)"),1.709900316E9)</f>
        <v>1709900316</v>
      </c>
      <c r="G450" s="3">
        <f>IFERROR(__xludf.DUMMYFUNCTION("INT((DATE(INDEX(SPLIT(C450,""/| |:""),3), INDEX(SPLIT(C450,""/| |:""),2), INDEX(SPLIT(C450,""/| |:""),1)) + TIME(INDEX(SPLIT(C450,""/| |:""),4), INDEX(SPLIT(C450,""/| |:""),5), INDEX(SPLIT(C450,""/| |:""),6)) - DATE(1970,1,1)) * 86400)"),1.713788316E9)</f>
        <v>1713788316</v>
      </c>
    </row>
    <row r="451">
      <c r="A451" s="1" t="s">
        <v>342</v>
      </c>
      <c r="B451" s="5">
        <v>45507.716944444444</v>
      </c>
      <c r="C451" s="1" t="s">
        <v>1415</v>
      </c>
      <c r="D451" s="1" t="s">
        <v>1416</v>
      </c>
      <c r="F451" s="3">
        <f>IFERROR(__xludf.DUMMYFUNCTION("INT((DATE(INDEX(SPLIT(B451,""/| |:""),3), INDEX(SPLIT(B451,""/| |:""),2), INDEX(SPLIT(B451,""/| |:""),1)) + TIME(INDEX(SPLIT(B451,""/| |:""),4), INDEX(SPLIT(B451,""/| |:""),5), INDEX(SPLIT(B451,""/| |:""),6)) - DATE(1970,1,1)) * 86400)"),1.709917944E9)</f>
        <v>1709917944</v>
      </c>
      <c r="G451" s="3">
        <f>IFERROR(__xludf.DUMMYFUNCTION("INT((DATE(INDEX(SPLIT(C451,""/| |:""),3), INDEX(SPLIT(C451,""/| |:""),2), INDEX(SPLIT(C451,""/| |:""),1)) + TIME(INDEX(SPLIT(C451,""/| |:""),4), INDEX(SPLIT(C451,""/| |:""),5), INDEX(SPLIT(C451,""/| |:""),6)) - DATE(1970,1,1)) * 86400)"),1.713805944E9)</f>
        <v>1713805944</v>
      </c>
    </row>
    <row r="452">
      <c r="A452" s="1" t="s">
        <v>55</v>
      </c>
      <c r="B452" s="5">
        <v>45507.80373842592</v>
      </c>
      <c r="C452" s="1" t="s">
        <v>1417</v>
      </c>
      <c r="D452" s="1" t="s">
        <v>1418</v>
      </c>
      <c r="F452" s="3">
        <f>IFERROR(__xludf.DUMMYFUNCTION("INT((DATE(INDEX(SPLIT(B452,""/| |:""),3), INDEX(SPLIT(B452,""/| |:""),2), INDEX(SPLIT(B452,""/| |:""),1)) + TIME(INDEX(SPLIT(B452,""/| |:""),4), INDEX(SPLIT(B452,""/| |:""),5), INDEX(SPLIT(B452,""/| |:""),6)) - DATE(1970,1,1)) * 86400)"),1.709925443E9)</f>
        <v>1709925443</v>
      </c>
      <c r="G452" s="3">
        <f>IFERROR(__xludf.DUMMYFUNCTION("INT((DATE(INDEX(SPLIT(C452,""/| |:""),3), INDEX(SPLIT(C452,""/| |:""),2), INDEX(SPLIT(C452,""/| |:""),1)) + TIME(INDEX(SPLIT(C452,""/| |:""),4), INDEX(SPLIT(C452,""/| |:""),5), INDEX(SPLIT(C452,""/| |:""),6)) - DATE(1970,1,1)) * 86400)"),1.713813443E9)</f>
        <v>1713813443</v>
      </c>
    </row>
    <row r="453">
      <c r="A453" s="1" t="s">
        <v>109</v>
      </c>
      <c r="B453" s="5">
        <v>45507.83650462963</v>
      </c>
      <c r="C453" s="1" t="s">
        <v>1419</v>
      </c>
      <c r="D453" s="1" t="s">
        <v>1420</v>
      </c>
      <c r="F453" s="3">
        <f>IFERROR(__xludf.DUMMYFUNCTION("INT((DATE(INDEX(SPLIT(B453,""/| |:""),3), INDEX(SPLIT(B453,""/| |:""),2), INDEX(SPLIT(B453,""/| |:""),1)) + TIME(INDEX(SPLIT(B453,""/| |:""),4), INDEX(SPLIT(B453,""/| |:""),5), INDEX(SPLIT(B453,""/| |:""),6)) - DATE(1970,1,1)) * 86400)"),1.709928274E9)</f>
        <v>1709928274</v>
      </c>
      <c r="G453" s="3">
        <f>IFERROR(__xludf.DUMMYFUNCTION("INT((DATE(INDEX(SPLIT(C453,""/| |:""),3), INDEX(SPLIT(C453,""/| |:""),2), INDEX(SPLIT(C453,""/| |:""),1)) + TIME(INDEX(SPLIT(C453,""/| |:""),4), INDEX(SPLIT(C453,""/| |:""),5), INDEX(SPLIT(C453,""/| |:""),6)) - DATE(1970,1,1)) * 86400)"),1.713816274E9)</f>
        <v>1713816274</v>
      </c>
    </row>
    <row r="454">
      <c r="A454" s="1" t="s">
        <v>341</v>
      </c>
      <c r="B454" s="5">
        <v>45507.90456018518</v>
      </c>
      <c r="C454" s="1" t="s">
        <v>1421</v>
      </c>
      <c r="D454" s="1" t="s">
        <v>1422</v>
      </c>
      <c r="F454" s="3">
        <f>IFERROR(__xludf.DUMMYFUNCTION("INT((DATE(INDEX(SPLIT(B454,""/| |:""),3), INDEX(SPLIT(B454,""/| |:""),2), INDEX(SPLIT(B454,""/| |:""),1)) + TIME(INDEX(SPLIT(B454,""/| |:""),4), INDEX(SPLIT(B454,""/| |:""),5), INDEX(SPLIT(B454,""/| |:""),6)) - DATE(1970,1,1)) * 86400)"),1.709934154E9)</f>
        <v>1709934154</v>
      </c>
      <c r="G454" s="3">
        <f>IFERROR(__xludf.DUMMYFUNCTION("INT((DATE(INDEX(SPLIT(C454,""/| |:""),3), INDEX(SPLIT(C454,""/| |:""),2), INDEX(SPLIT(C454,""/| |:""),1)) + TIME(INDEX(SPLIT(C454,""/| |:""),4), INDEX(SPLIT(C454,""/| |:""),5), INDEX(SPLIT(C454,""/| |:""),6)) - DATE(1970,1,1)) * 86400)"),1.713822154E9)</f>
        <v>1713822154</v>
      </c>
    </row>
    <row r="455">
      <c r="A455" s="1" t="s">
        <v>340</v>
      </c>
      <c r="B455" s="5">
        <v>45568.16615740741</v>
      </c>
      <c r="C455" s="1" t="s">
        <v>1423</v>
      </c>
      <c r="D455" s="1" t="s">
        <v>1424</v>
      </c>
      <c r="F455" s="3">
        <f>IFERROR(__xludf.DUMMYFUNCTION("INT((DATE(INDEX(SPLIT(B455,""/| |:""),3), INDEX(SPLIT(B455,""/| |:""),2), INDEX(SPLIT(B455,""/| |:""),1)) + TIME(INDEX(SPLIT(B455,""/| |:""),4), INDEX(SPLIT(B455,""/| |:""),5), INDEX(SPLIT(B455,""/| |:""),6)) - DATE(1970,1,1)) * 86400)"),1.710043156E9)</f>
        <v>1710043156</v>
      </c>
      <c r="G455" s="3">
        <f>IFERROR(__xludf.DUMMYFUNCTION("INT((DATE(INDEX(SPLIT(C455,""/| |:""),3), INDEX(SPLIT(C455,""/| |:""),2), INDEX(SPLIT(C455,""/| |:""),1)) + TIME(INDEX(SPLIT(C455,""/| |:""),4), INDEX(SPLIT(C455,""/| |:""),5), INDEX(SPLIT(C455,""/| |:""),6)) - DATE(1970,1,1)) * 86400)"),1.713931156E9)</f>
        <v>1713931156</v>
      </c>
    </row>
    <row r="456">
      <c r="A456" s="1" t="s">
        <v>339</v>
      </c>
      <c r="B456" s="5">
        <v>45568.58630787037</v>
      </c>
      <c r="C456" s="1" t="s">
        <v>1425</v>
      </c>
      <c r="D456" s="1" t="s">
        <v>1426</v>
      </c>
      <c r="F456" s="3">
        <f>IFERROR(__xludf.DUMMYFUNCTION("INT((DATE(INDEX(SPLIT(B456,""/| |:""),3), INDEX(SPLIT(B456,""/| |:""),2), INDEX(SPLIT(B456,""/| |:""),1)) + TIME(INDEX(SPLIT(B456,""/| |:""),4), INDEX(SPLIT(B456,""/| |:""),5), INDEX(SPLIT(B456,""/| |:""),6)) - DATE(1970,1,1)) * 86400)"),1.710079457E9)</f>
        <v>1710079457</v>
      </c>
      <c r="G456" s="3">
        <f>IFERROR(__xludf.DUMMYFUNCTION("INT((DATE(INDEX(SPLIT(C456,""/| |:""),3), INDEX(SPLIT(C456,""/| |:""),2), INDEX(SPLIT(C456,""/| |:""),1)) + TIME(INDEX(SPLIT(C456,""/| |:""),4), INDEX(SPLIT(C456,""/| |:""),5), INDEX(SPLIT(C456,""/| |:""),6)) - DATE(1970,1,1)) * 86400)"),1.713967457E9)</f>
        <v>1713967457</v>
      </c>
    </row>
    <row r="457">
      <c r="A457" s="1" t="s">
        <v>338</v>
      </c>
      <c r="B457" s="5">
        <v>45599.44752314815</v>
      </c>
      <c r="C457" s="1" t="s">
        <v>1427</v>
      </c>
      <c r="D457" s="1" t="s">
        <v>1428</v>
      </c>
      <c r="F457" s="3">
        <f>IFERROR(__xludf.DUMMYFUNCTION("INT((DATE(INDEX(SPLIT(B457,""/| |:""),3), INDEX(SPLIT(B457,""/| |:""),2), INDEX(SPLIT(B457,""/| |:""),1)) + TIME(INDEX(SPLIT(B457,""/| |:""),4), INDEX(SPLIT(B457,""/| |:""),5), INDEX(SPLIT(B457,""/| |:""),6)) - DATE(1970,1,1)) * 86400)"),1.710153866E9)</f>
        <v>1710153866</v>
      </c>
      <c r="G457" s="3">
        <f>IFERROR(__xludf.DUMMYFUNCTION("INT((DATE(INDEX(SPLIT(C457,""/| |:""),3), INDEX(SPLIT(C457,""/| |:""),2), INDEX(SPLIT(C457,""/| |:""),1)) + TIME(INDEX(SPLIT(C457,""/| |:""),4), INDEX(SPLIT(C457,""/| |:""),5), INDEX(SPLIT(C457,""/| |:""),6)) - DATE(1970,1,1)) * 86400)"),1.714041866E9)</f>
        <v>1714041866</v>
      </c>
    </row>
    <row r="458">
      <c r="A458" s="1" t="s">
        <v>337</v>
      </c>
      <c r="B458" s="5">
        <v>45599.49482638889</v>
      </c>
      <c r="C458" s="1" t="s">
        <v>1429</v>
      </c>
      <c r="D458" s="1" t="s">
        <v>1430</v>
      </c>
      <c r="F458" s="3">
        <f>IFERROR(__xludf.DUMMYFUNCTION("INT((DATE(INDEX(SPLIT(B458,""/| |:""),3), INDEX(SPLIT(B458,""/| |:""),2), INDEX(SPLIT(B458,""/| |:""),1)) + TIME(INDEX(SPLIT(B458,""/| |:""),4), INDEX(SPLIT(B458,""/| |:""),5), INDEX(SPLIT(B458,""/| |:""),6)) - DATE(1970,1,1)) * 86400)"),1.710157953E9)</f>
        <v>1710157953</v>
      </c>
      <c r="G458" s="3">
        <f>IFERROR(__xludf.DUMMYFUNCTION("INT((DATE(INDEX(SPLIT(C458,""/| |:""),3), INDEX(SPLIT(C458,""/| |:""),2), INDEX(SPLIT(C458,""/| |:""),1)) + TIME(INDEX(SPLIT(C458,""/| |:""),4), INDEX(SPLIT(C458,""/| |:""),5), INDEX(SPLIT(C458,""/| |:""),6)) - DATE(1970,1,1)) * 86400)"),1.714045953E9)</f>
        <v>1714045953</v>
      </c>
    </row>
    <row r="459">
      <c r="A459" s="1" t="s">
        <v>336</v>
      </c>
      <c r="B459" s="5">
        <v>45599.65215277778</v>
      </c>
      <c r="C459" s="1" t="s">
        <v>1431</v>
      </c>
      <c r="D459" s="1" t="s">
        <v>1432</v>
      </c>
      <c r="F459" s="3">
        <f>IFERROR(__xludf.DUMMYFUNCTION("INT((DATE(INDEX(SPLIT(B459,""/| |:""),3), INDEX(SPLIT(B459,""/| |:""),2), INDEX(SPLIT(B459,""/| |:""),1)) + TIME(INDEX(SPLIT(B459,""/| |:""),4), INDEX(SPLIT(B459,""/| |:""),5), INDEX(SPLIT(B459,""/| |:""),6)) - DATE(1970,1,1)) * 86400)"),1.710171546E9)</f>
        <v>1710171546</v>
      </c>
      <c r="G459" s="3">
        <f>IFERROR(__xludf.DUMMYFUNCTION("INT((DATE(INDEX(SPLIT(C459,""/| |:""),3), INDEX(SPLIT(C459,""/| |:""),2), INDEX(SPLIT(C459,""/| |:""),1)) + TIME(INDEX(SPLIT(C459,""/| |:""),4), INDEX(SPLIT(C459,""/| |:""),5), INDEX(SPLIT(C459,""/| |:""),6)) - DATE(1970,1,1)) * 86400)"),1.714059546E9)</f>
        <v>1714059546</v>
      </c>
    </row>
    <row r="460">
      <c r="A460" s="1" t="s">
        <v>335</v>
      </c>
      <c r="B460" s="5">
        <v>45599.735601851855</v>
      </c>
      <c r="C460" s="1" t="s">
        <v>1433</v>
      </c>
      <c r="D460" s="1" t="s">
        <v>1434</v>
      </c>
      <c r="F460" s="3">
        <f>IFERROR(__xludf.DUMMYFUNCTION("INT((DATE(INDEX(SPLIT(B460,""/| |:""),3), INDEX(SPLIT(B460,""/| |:""),2), INDEX(SPLIT(B460,""/| |:""),1)) + TIME(INDEX(SPLIT(B460,""/| |:""),4), INDEX(SPLIT(B460,""/| |:""),5), INDEX(SPLIT(B460,""/| |:""),6)) - DATE(1970,1,1)) * 86400)"),1.710178756E9)</f>
        <v>1710178756</v>
      </c>
      <c r="G460" s="3">
        <f>IFERROR(__xludf.DUMMYFUNCTION("INT((DATE(INDEX(SPLIT(C460,""/| |:""),3), INDEX(SPLIT(C460,""/| |:""),2), INDEX(SPLIT(C460,""/| |:""),1)) + TIME(INDEX(SPLIT(C460,""/| |:""),4), INDEX(SPLIT(C460,""/| |:""),5), INDEX(SPLIT(C460,""/| |:""),6)) - DATE(1970,1,1)) * 86400)"),1.714066756E9)</f>
        <v>1714066756</v>
      </c>
    </row>
    <row r="461">
      <c r="A461" s="1" t="s">
        <v>196</v>
      </c>
      <c r="B461" s="5" t="s">
        <v>1435</v>
      </c>
      <c r="C461" s="1" t="s">
        <v>1436</v>
      </c>
      <c r="D461" s="1" t="s">
        <v>1437</v>
      </c>
      <c r="F461" s="3">
        <f>IFERROR(__xludf.DUMMYFUNCTION("INT((DATE(INDEX(SPLIT(B461,""/| |:""),3), INDEX(SPLIT(B461,""/| |:""),2), INDEX(SPLIT(B461,""/| |:""),1)) + TIME(INDEX(SPLIT(B461,""/| |:""),4), INDEX(SPLIT(B461,""/| |:""),5), INDEX(SPLIT(B461,""/| |:""),6)) - DATE(1970,1,1)) * 86400)"),1.700088443E9)</f>
        <v>1700088443</v>
      </c>
      <c r="G461" s="3">
        <f>IFERROR(__xludf.DUMMYFUNCTION("INT((DATE(INDEX(SPLIT(C461,""/| |:""),3), INDEX(SPLIT(C461,""/| |:""),2), INDEX(SPLIT(C461,""/| |:""),1)) + TIME(INDEX(SPLIT(C461,""/| |:""),4), INDEX(SPLIT(C461,""/| |:""),5), INDEX(SPLIT(C461,""/| |:""),6)) - DATE(1970,1,1)) * 86400)"),1.703976443E9)</f>
        <v>1703976443</v>
      </c>
    </row>
    <row r="462">
      <c r="A462" s="1" t="s">
        <v>334</v>
      </c>
      <c r="B462" s="5">
        <v>45599.79253472222</v>
      </c>
      <c r="C462" s="1" t="s">
        <v>1438</v>
      </c>
      <c r="D462" s="1" t="s">
        <v>1439</v>
      </c>
      <c r="F462" s="3">
        <f>IFERROR(__xludf.DUMMYFUNCTION("INT((DATE(INDEX(SPLIT(B462,""/| |:""),3), INDEX(SPLIT(B462,""/| |:""),2), INDEX(SPLIT(B462,""/| |:""),1)) + TIME(INDEX(SPLIT(B462,""/| |:""),4), INDEX(SPLIT(B462,""/| |:""),5), INDEX(SPLIT(B462,""/| |:""),6)) - DATE(1970,1,1)) * 86400)"),1.710183675E9)</f>
        <v>1710183675</v>
      </c>
      <c r="G462" s="3">
        <f>IFERROR(__xludf.DUMMYFUNCTION("INT((DATE(INDEX(SPLIT(C462,""/| |:""),3), INDEX(SPLIT(C462,""/| |:""),2), INDEX(SPLIT(C462,""/| |:""),1)) + TIME(INDEX(SPLIT(C462,""/| |:""),4), INDEX(SPLIT(C462,""/| |:""),5), INDEX(SPLIT(C462,""/| |:""),6)) - DATE(1970,1,1)) * 86400)"),1.714071675E9)</f>
        <v>1714071675</v>
      </c>
    </row>
    <row r="463">
      <c r="A463" s="1" t="s">
        <v>330</v>
      </c>
      <c r="B463" s="5">
        <v>45629.74369212963</v>
      </c>
      <c r="C463" s="1" t="s">
        <v>1440</v>
      </c>
      <c r="D463" s="1" t="s">
        <v>1441</v>
      </c>
      <c r="F463" s="3">
        <f>IFERROR(__xludf.DUMMYFUNCTION("INT((DATE(INDEX(SPLIT(B463,""/| |:""),3), INDEX(SPLIT(B463,""/| |:""),2), INDEX(SPLIT(B463,""/| |:""),1)) + TIME(INDEX(SPLIT(B463,""/| |:""),4), INDEX(SPLIT(B463,""/| |:""),5), INDEX(SPLIT(B463,""/| |:""),6)) - DATE(1970,1,1)) * 86400)"),1.710265855E9)</f>
        <v>1710265855</v>
      </c>
      <c r="G463" s="3">
        <f>IFERROR(__xludf.DUMMYFUNCTION("INT((DATE(INDEX(SPLIT(C463,""/| |:""),3), INDEX(SPLIT(C463,""/| |:""),2), INDEX(SPLIT(C463,""/| |:""),1)) + TIME(INDEX(SPLIT(C463,""/| |:""),4), INDEX(SPLIT(C463,""/| |:""),5), INDEX(SPLIT(C463,""/| |:""),6)) - DATE(1970,1,1)) * 86400)"),1.714153855E9)</f>
        <v>1714153855</v>
      </c>
    </row>
    <row r="464">
      <c r="A464" s="1" t="s">
        <v>333</v>
      </c>
      <c r="B464" s="5">
        <v>45629.97278935185</v>
      </c>
      <c r="C464" s="1" t="s">
        <v>1442</v>
      </c>
      <c r="D464" s="1" t="s">
        <v>1443</v>
      </c>
      <c r="F464" s="3">
        <f>IFERROR(__xludf.DUMMYFUNCTION("INT((DATE(INDEX(SPLIT(B464,""/| |:""),3), INDEX(SPLIT(B464,""/| |:""),2), INDEX(SPLIT(B464,""/| |:""),1)) + TIME(INDEX(SPLIT(B464,""/| |:""),4), INDEX(SPLIT(B464,""/| |:""),5), INDEX(SPLIT(B464,""/| |:""),6)) - DATE(1970,1,1)) * 86400)"),1.710285649E9)</f>
        <v>1710285649</v>
      </c>
      <c r="G464" s="3">
        <f>IFERROR(__xludf.DUMMYFUNCTION("INT((DATE(INDEX(SPLIT(C464,""/| |:""),3), INDEX(SPLIT(C464,""/| |:""),2), INDEX(SPLIT(C464,""/| |:""),1)) + TIME(INDEX(SPLIT(C464,""/| |:""),4), INDEX(SPLIT(C464,""/| |:""),5), INDEX(SPLIT(C464,""/| |:""),6)) - DATE(1970,1,1)) * 86400)"),1.714173649E9)</f>
        <v>1714173649</v>
      </c>
    </row>
    <row r="465">
      <c r="A465" s="1" t="s">
        <v>83</v>
      </c>
      <c r="B465" s="5" t="s">
        <v>1444</v>
      </c>
      <c r="C465" s="1" t="s">
        <v>1445</v>
      </c>
      <c r="D465" s="1" t="s">
        <v>1446</v>
      </c>
      <c r="F465" s="3">
        <f>IFERROR(__xludf.DUMMYFUNCTION("INT((DATE(INDEX(SPLIT(B465,""/| |:""),3), INDEX(SPLIT(B465,""/| |:""),2), INDEX(SPLIT(B465,""/| |:""),1)) + TIME(INDEX(SPLIT(B465,""/| |:""),4), INDEX(SPLIT(B465,""/| |:""),5), INDEX(SPLIT(B465,""/| |:""),6)) - DATE(1970,1,1)) * 86400)"),1.710325637E9)</f>
        <v>1710325637</v>
      </c>
      <c r="G465" s="3">
        <f>IFERROR(__xludf.DUMMYFUNCTION("INT((DATE(INDEX(SPLIT(C465,""/| |:""),3), INDEX(SPLIT(C465,""/| |:""),2), INDEX(SPLIT(C465,""/| |:""),1)) + TIME(INDEX(SPLIT(C465,""/| |:""),4), INDEX(SPLIT(C465,""/| |:""),5), INDEX(SPLIT(C465,""/| |:""),6)) - DATE(1970,1,1)) * 86400)"),1.714213637E9)</f>
        <v>1714213637</v>
      </c>
    </row>
    <row r="466">
      <c r="A466" s="1" t="s">
        <v>83</v>
      </c>
      <c r="B466" s="5" t="s">
        <v>1447</v>
      </c>
      <c r="C466" s="1" t="s">
        <v>1448</v>
      </c>
      <c r="D466" s="1" t="s">
        <v>1449</v>
      </c>
      <c r="F466" s="3">
        <f>IFERROR(__xludf.DUMMYFUNCTION("INT((DATE(INDEX(SPLIT(B466,""/| |:""),3), INDEX(SPLIT(B466,""/| |:""),2), INDEX(SPLIT(B466,""/| |:""),1)) + TIME(INDEX(SPLIT(B466,""/| |:""),4), INDEX(SPLIT(B466,""/| |:""),5), INDEX(SPLIT(B466,""/| |:""),6)) - DATE(1970,1,1)) * 86400)"),1.710325859E9)</f>
        <v>1710325859</v>
      </c>
      <c r="G466" s="3">
        <f>IFERROR(__xludf.DUMMYFUNCTION("INT((DATE(INDEX(SPLIT(C466,""/| |:""),3), INDEX(SPLIT(C466,""/| |:""),2), INDEX(SPLIT(C466,""/| |:""),1)) + TIME(INDEX(SPLIT(C466,""/| |:""),4), INDEX(SPLIT(C466,""/| |:""),5), INDEX(SPLIT(C466,""/| |:""),6)) - DATE(1970,1,1)) * 86400)"),1.714213859E9)</f>
        <v>1714213859</v>
      </c>
    </row>
    <row r="467">
      <c r="A467" s="1" t="s">
        <v>293</v>
      </c>
      <c r="B467" s="5" t="s">
        <v>1450</v>
      </c>
      <c r="C467" s="1" t="s">
        <v>1451</v>
      </c>
      <c r="D467" s="1" t="s">
        <v>1452</v>
      </c>
      <c r="F467" s="3">
        <f>IFERROR(__xludf.DUMMYFUNCTION("INT((DATE(INDEX(SPLIT(B467,""/| |:""),3), INDEX(SPLIT(B467,""/| |:""),2), INDEX(SPLIT(B467,""/| |:""),1)) + TIME(INDEX(SPLIT(B467,""/| |:""),4), INDEX(SPLIT(B467,""/| |:""),5), INDEX(SPLIT(B467,""/| |:""),6)) - DATE(1970,1,1)) * 86400)"),1.710420867E9)</f>
        <v>1710420867</v>
      </c>
      <c r="G467" s="3">
        <f>IFERROR(__xludf.DUMMYFUNCTION("INT((DATE(INDEX(SPLIT(C467,""/| |:""),3), INDEX(SPLIT(C467,""/| |:""),2), INDEX(SPLIT(C467,""/| |:""),1)) + TIME(INDEX(SPLIT(C467,""/| |:""),4), INDEX(SPLIT(C467,""/| |:""),5), INDEX(SPLIT(C467,""/| |:""),6)) - DATE(1970,1,1)) * 86400)"),1.714308867E9)</f>
        <v>1714308867</v>
      </c>
    </row>
    <row r="468">
      <c r="A468" s="1" t="s">
        <v>332</v>
      </c>
      <c r="B468" s="5" t="s">
        <v>1453</v>
      </c>
      <c r="C468" s="1" t="s">
        <v>1454</v>
      </c>
      <c r="D468" s="1" t="s">
        <v>1455</v>
      </c>
      <c r="F468" s="3">
        <f>IFERROR(__xludf.DUMMYFUNCTION("INT((DATE(INDEX(SPLIT(B468,""/| |:""),3), INDEX(SPLIT(B468,""/| |:""),2), INDEX(SPLIT(B468,""/| |:""),1)) + TIME(INDEX(SPLIT(B468,""/| |:""),4), INDEX(SPLIT(B468,""/| |:""),5), INDEX(SPLIT(B468,""/| |:""),6)) - DATE(1970,1,1)) * 86400)"),1.710431715E9)</f>
        <v>1710431715</v>
      </c>
      <c r="G468" s="3">
        <f>IFERROR(__xludf.DUMMYFUNCTION("INT((DATE(INDEX(SPLIT(C468,""/| |:""),3), INDEX(SPLIT(C468,""/| |:""),2), INDEX(SPLIT(C468,""/| |:""),1)) + TIME(INDEX(SPLIT(C468,""/| |:""),4), INDEX(SPLIT(C468,""/| |:""),5), INDEX(SPLIT(C468,""/| |:""),6)) - DATE(1970,1,1)) * 86400)"),1.714319715E9)</f>
        <v>1714319715</v>
      </c>
    </row>
    <row r="469">
      <c r="A469" s="1" t="s">
        <v>331</v>
      </c>
      <c r="B469" s="5" t="s">
        <v>1456</v>
      </c>
      <c r="C469" s="1" t="s">
        <v>1457</v>
      </c>
      <c r="D469" s="1" t="s">
        <v>1458</v>
      </c>
      <c r="F469" s="3">
        <f>IFERROR(__xludf.DUMMYFUNCTION("INT((DATE(INDEX(SPLIT(B469,""/| |:""),3), INDEX(SPLIT(B469,""/| |:""),2), INDEX(SPLIT(B469,""/| |:""),1)) + TIME(INDEX(SPLIT(B469,""/| |:""),4), INDEX(SPLIT(B469,""/| |:""),5), INDEX(SPLIT(B469,""/| |:""),6)) - DATE(1970,1,1)) * 86400)"),1.710435755E9)</f>
        <v>1710435755</v>
      </c>
      <c r="G469" s="3">
        <f>IFERROR(__xludf.DUMMYFUNCTION("INT((DATE(INDEX(SPLIT(C469,""/| |:""),3), INDEX(SPLIT(C469,""/| |:""),2), INDEX(SPLIT(C469,""/| |:""),1)) + TIME(INDEX(SPLIT(C469,""/| |:""),4), INDEX(SPLIT(C469,""/| |:""),5), INDEX(SPLIT(C469,""/| |:""),6)) - DATE(1970,1,1)) * 86400)"),1.714323755E9)</f>
        <v>1714323755</v>
      </c>
    </row>
    <row r="470">
      <c r="A470" s="1" t="s">
        <v>330</v>
      </c>
      <c r="B470" s="5" t="s">
        <v>1459</v>
      </c>
      <c r="C470" s="1" t="s">
        <v>1460</v>
      </c>
      <c r="D470" s="1" t="s">
        <v>1461</v>
      </c>
      <c r="F470" s="3">
        <f>IFERROR(__xludf.DUMMYFUNCTION("INT((DATE(INDEX(SPLIT(B470,""/| |:""),3), INDEX(SPLIT(B470,""/| |:""),2), INDEX(SPLIT(B470,""/| |:""),1)) + TIME(INDEX(SPLIT(B470,""/| |:""),4), INDEX(SPLIT(B470,""/| |:""),5), INDEX(SPLIT(B470,""/| |:""),6)) - DATE(1970,1,1)) * 86400)"),1.710436975E9)</f>
        <v>1710436975</v>
      </c>
      <c r="G470" s="3">
        <f>IFERROR(__xludf.DUMMYFUNCTION("INT((DATE(INDEX(SPLIT(C470,""/| |:""),3), INDEX(SPLIT(C470,""/| |:""),2), INDEX(SPLIT(C470,""/| |:""),1)) + TIME(INDEX(SPLIT(C470,""/| |:""),4), INDEX(SPLIT(C470,""/| |:""),5), INDEX(SPLIT(C470,""/| |:""),6)) - DATE(1970,1,1)) * 86400)"),1.714324975E9)</f>
        <v>1714324975</v>
      </c>
    </row>
    <row r="471">
      <c r="A471" s="1" t="s">
        <v>329</v>
      </c>
      <c r="B471" s="5" t="s">
        <v>1462</v>
      </c>
      <c r="C471" s="1" t="s">
        <v>1463</v>
      </c>
      <c r="D471" s="1" t="s">
        <v>1464</v>
      </c>
      <c r="F471" s="3">
        <f>IFERROR(__xludf.DUMMYFUNCTION("INT((DATE(INDEX(SPLIT(B471,""/| |:""),3), INDEX(SPLIT(B471,""/| |:""),2), INDEX(SPLIT(B471,""/| |:""),1)) + TIME(INDEX(SPLIT(B471,""/| |:""),4), INDEX(SPLIT(B471,""/| |:""),5), INDEX(SPLIT(B471,""/| |:""),6)) - DATE(1970,1,1)) * 86400)"),1.710451624E9)</f>
        <v>1710451624</v>
      </c>
      <c r="G471" s="3">
        <f>IFERROR(__xludf.DUMMYFUNCTION("INT((DATE(INDEX(SPLIT(C471,""/| |:""),3), INDEX(SPLIT(C471,""/| |:""),2), INDEX(SPLIT(C471,""/| |:""),1)) + TIME(INDEX(SPLIT(C471,""/| |:""),4), INDEX(SPLIT(C471,""/| |:""),5), INDEX(SPLIT(C471,""/| |:""),6)) - DATE(1970,1,1)) * 86400)"),1.714339624E9)</f>
        <v>1714339624</v>
      </c>
    </row>
    <row r="472">
      <c r="A472" s="1" t="s">
        <v>328</v>
      </c>
      <c r="B472" s="5" t="s">
        <v>1465</v>
      </c>
      <c r="C472" s="1" t="s">
        <v>1466</v>
      </c>
      <c r="D472" s="1" t="s">
        <v>1467</v>
      </c>
      <c r="F472" s="3">
        <f>IFERROR(__xludf.DUMMYFUNCTION("INT((DATE(INDEX(SPLIT(B472,""/| |:""),3), INDEX(SPLIT(B472,""/| |:""),2), INDEX(SPLIT(B472,""/| |:""),1)) + TIME(INDEX(SPLIT(B472,""/| |:""),4), INDEX(SPLIT(B472,""/| |:""),5), INDEX(SPLIT(B472,""/| |:""),6)) - DATE(1970,1,1)) * 86400)"),1.710533686E9)</f>
        <v>1710533686</v>
      </c>
      <c r="G472" s="3">
        <f>IFERROR(__xludf.DUMMYFUNCTION("INT((DATE(INDEX(SPLIT(C472,""/| |:""),3), INDEX(SPLIT(C472,""/| |:""),2), INDEX(SPLIT(C472,""/| |:""),1)) + TIME(INDEX(SPLIT(C472,""/| |:""),4), INDEX(SPLIT(C472,""/| |:""),5), INDEX(SPLIT(C472,""/| |:""),6)) - DATE(1970,1,1)) * 86400)"),1.714421686E9)</f>
        <v>1714421686</v>
      </c>
    </row>
    <row r="473">
      <c r="A473" s="1" t="s">
        <v>327</v>
      </c>
      <c r="B473" s="5" t="s">
        <v>1468</v>
      </c>
      <c r="C473" s="1" t="s">
        <v>1469</v>
      </c>
      <c r="D473" s="1" t="s">
        <v>1470</v>
      </c>
      <c r="F473" s="3">
        <f>IFERROR(__xludf.DUMMYFUNCTION("INT((DATE(INDEX(SPLIT(B473,""/| |:""),3), INDEX(SPLIT(B473,""/| |:""),2), INDEX(SPLIT(B473,""/| |:""),1)) + TIME(INDEX(SPLIT(B473,""/| |:""),4), INDEX(SPLIT(B473,""/| |:""),5), INDEX(SPLIT(B473,""/| |:""),6)) - DATE(1970,1,1)) * 86400)"),1.710533799E9)</f>
        <v>1710533799</v>
      </c>
      <c r="G473" s="3">
        <f>IFERROR(__xludf.DUMMYFUNCTION("INT((DATE(INDEX(SPLIT(C473,""/| |:""),3), INDEX(SPLIT(C473,""/| |:""),2), INDEX(SPLIT(C473,""/| |:""),1)) + TIME(INDEX(SPLIT(C473,""/| |:""),4), INDEX(SPLIT(C473,""/| |:""),5), INDEX(SPLIT(C473,""/| |:""),6)) - DATE(1970,1,1)) * 86400)"),1.714421799E9)</f>
        <v>1714421799</v>
      </c>
    </row>
    <row r="474">
      <c r="A474" s="1" t="s">
        <v>326</v>
      </c>
      <c r="B474" s="5" t="s">
        <v>1471</v>
      </c>
      <c r="C474" s="1" t="s">
        <v>1472</v>
      </c>
      <c r="D474" s="1" t="s">
        <v>1473</v>
      </c>
      <c r="F474" s="3">
        <f>IFERROR(__xludf.DUMMYFUNCTION("INT((DATE(INDEX(SPLIT(B474,""/| |:""),3), INDEX(SPLIT(B474,""/| |:""),2), INDEX(SPLIT(B474,""/| |:""),1)) + TIME(INDEX(SPLIT(B474,""/| |:""),4), INDEX(SPLIT(B474,""/| |:""),5), INDEX(SPLIT(B474,""/| |:""),6)) - DATE(1970,1,1)) * 86400)"),1.710594004E9)</f>
        <v>1710594004</v>
      </c>
      <c r="G474" s="3">
        <f>IFERROR(__xludf.DUMMYFUNCTION("INT((DATE(INDEX(SPLIT(C474,""/| |:""),3), INDEX(SPLIT(C474,""/| |:""),2), INDEX(SPLIT(C474,""/| |:""),1)) + TIME(INDEX(SPLIT(C474,""/| |:""),4), INDEX(SPLIT(C474,""/| |:""),5), INDEX(SPLIT(C474,""/| |:""),6)) - DATE(1970,1,1)) * 86400)"),1.714482004E9)</f>
        <v>1714482004</v>
      </c>
    </row>
    <row r="475">
      <c r="A475" s="1" t="s">
        <v>325</v>
      </c>
      <c r="B475" s="5" t="s">
        <v>1474</v>
      </c>
      <c r="C475" s="1" t="s">
        <v>1475</v>
      </c>
      <c r="D475" s="1" t="s">
        <v>1476</v>
      </c>
      <c r="F475" s="3">
        <f>IFERROR(__xludf.DUMMYFUNCTION("INT((DATE(INDEX(SPLIT(B475,""/| |:""),3), INDEX(SPLIT(B475,""/| |:""),2), INDEX(SPLIT(B475,""/| |:""),1)) + TIME(INDEX(SPLIT(B475,""/| |:""),4), INDEX(SPLIT(B475,""/| |:""),5), INDEX(SPLIT(B475,""/| |:""),6)) - DATE(1970,1,1)) * 86400)"),1.710595318E9)</f>
        <v>1710595318</v>
      </c>
      <c r="G475" s="3">
        <f>IFERROR(__xludf.DUMMYFUNCTION("INT((DATE(INDEX(SPLIT(C475,""/| |:""),3), INDEX(SPLIT(C475,""/| |:""),2), INDEX(SPLIT(C475,""/| |:""),1)) + TIME(INDEX(SPLIT(C475,""/| |:""),4), INDEX(SPLIT(C475,""/| |:""),5), INDEX(SPLIT(C475,""/| |:""),6)) - DATE(1970,1,1)) * 86400)"),1.714483318E9)</f>
        <v>1714483318</v>
      </c>
    </row>
    <row r="476">
      <c r="A476" s="1" t="s">
        <v>324</v>
      </c>
      <c r="B476" s="5" t="s">
        <v>1477</v>
      </c>
      <c r="C476" s="1" t="s">
        <v>1478</v>
      </c>
      <c r="D476" s="1" t="s">
        <v>1479</v>
      </c>
      <c r="F476" s="3">
        <f>IFERROR(__xludf.DUMMYFUNCTION("INT((DATE(INDEX(SPLIT(B476,""/| |:""),3), INDEX(SPLIT(B476,""/| |:""),2), INDEX(SPLIT(B476,""/| |:""),1)) + TIME(INDEX(SPLIT(B476,""/| |:""),4), INDEX(SPLIT(B476,""/| |:""),5), INDEX(SPLIT(B476,""/| |:""),6)) - DATE(1970,1,1)) * 86400)"),1.7105955E9)</f>
        <v>1710595500</v>
      </c>
      <c r="G476" s="3">
        <f>IFERROR(__xludf.DUMMYFUNCTION("INT((DATE(INDEX(SPLIT(C476,""/| |:""),3), INDEX(SPLIT(C476,""/| |:""),2), INDEX(SPLIT(C476,""/| |:""),1)) + TIME(INDEX(SPLIT(C476,""/| |:""),4), INDEX(SPLIT(C476,""/| |:""),5), INDEX(SPLIT(C476,""/| |:""),6)) - DATE(1970,1,1)) * 86400)"),1.7144835E9)</f>
        <v>1714483500</v>
      </c>
    </row>
    <row r="477">
      <c r="A477" s="1" t="s">
        <v>323</v>
      </c>
      <c r="B477" s="5" t="s">
        <v>1480</v>
      </c>
      <c r="C477" s="1" t="s">
        <v>1481</v>
      </c>
      <c r="D477" s="1" t="s">
        <v>1482</v>
      </c>
      <c r="F477" s="3">
        <f>IFERROR(__xludf.DUMMYFUNCTION("INT((DATE(INDEX(SPLIT(B477,""/| |:""),3), INDEX(SPLIT(B477,""/| |:""),2), INDEX(SPLIT(B477,""/| |:""),1)) + TIME(INDEX(SPLIT(B477,""/| |:""),4), INDEX(SPLIT(B477,""/| |:""),5), INDEX(SPLIT(B477,""/| |:""),6)) - DATE(1970,1,1)) * 86400)"),1.710600642E9)</f>
        <v>1710600642</v>
      </c>
      <c r="G477" s="3">
        <f>IFERROR(__xludf.DUMMYFUNCTION("INT((DATE(INDEX(SPLIT(C477,""/| |:""),3), INDEX(SPLIT(C477,""/| |:""),2), INDEX(SPLIT(C477,""/| |:""),1)) + TIME(INDEX(SPLIT(C477,""/| |:""),4), INDEX(SPLIT(C477,""/| |:""),5), INDEX(SPLIT(C477,""/| |:""),6)) - DATE(1970,1,1)) * 86400)"),1.714488642E9)</f>
        <v>1714488642</v>
      </c>
    </row>
    <row r="478">
      <c r="A478" s="1" t="s">
        <v>322</v>
      </c>
      <c r="B478" s="5" t="s">
        <v>1483</v>
      </c>
      <c r="C478" s="1" t="s">
        <v>1484</v>
      </c>
      <c r="D478" s="1" t="s">
        <v>1485</v>
      </c>
      <c r="F478" s="3">
        <f>IFERROR(__xludf.DUMMYFUNCTION("INT((DATE(INDEX(SPLIT(B478,""/| |:""),3), INDEX(SPLIT(B478,""/| |:""),2), INDEX(SPLIT(B478,""/| |:""),1)) + TIME(INDEX(SPLIT(B478,""/| |:""),4), INDEX(SPLIT(B478,""/| |:""),5), INDEX(SPLIT(B478,""/| |:""),6)) - DATE(1970,1,1)) * 86400)"),1.710633552E9)</f>
        <v>1710633552</v>
      </c>
      <c r="G478" s="3">
        <f>IFERROR(__xludf.DUMMYFUNCTION("INT((DATE(INDEX(SPLIT(C478,""/| |:""),3), INDEX(SPLIT(C478,""/| |:""),2), INDEX(SPLIT(C478,""/| |:""),1)) + TIME(INDEX(SPLIT(C478,""/| |:""),4), INDEX(SPLIT(C478,""/| |:""),5), INDEX(SPLIT(C478,""/| |:""),6)) - DATE(1970,1,1)) * 86400)"),1.714521552E9)</f>
        <v>1714521552</v>
      </c>
    </row>
    <row r="479">
      <c r="A479" s="1" t="s">
        <v>321</v>
      </c>
      <c r="B479" s="5" t="s">
        <v>1486</v>
      </c>
      <c r="C479" s="7">
        <v>45296.38233796296</v>
      </c>
      <c r="D479" s="1" t="s">
        <v>1487</v>
      </c>
      <c r="F479" s="3">
        <f>IFERROR(__xludf.DUMMYFUNCTION("INT((DATE(INDEX(SPLIT(B479,""/| |:""),3), INDEX(SPLIT(B479,""/| |:""),2), INDEX(SPLIT(B479,""/| |:""),1)) + TIME(INDEX(SPLIT(B479,""/| |:""),4), INDEX(SPLIT(B479,""/| |:""),5), INDEX(SPLIT(B479,""/| |:""),6)) - DATE(1970,1,1)) * 86400)"),1.710666634E9)</f>
        <v>1710666634</v>
      </c>
      <c r="G479" s="3">
        <f>IFERROR(__xludf.DUMMYFUNCTION("INT((DATE(INDEX(SPLIT(C479,""/| |:""),3), INDEX(SPLIT(C479,""/| |:""),2), INDEX(SPLIT(C479,""/| |:""),1)) + TIME(INDEX(SPLIT(C479,""/| |:""),4), INDEX(SPLIT(C479,""/| |:""),5), INDEX(SPLIT(C479,""/| |:""),6)) - DATE(1970,1,1)) * 86400)"),1.714554634E9)</f>
        <v>1714554634</v>
      </c>
    </row>
    <row r="480">
      <c r="A480" s="1" t="s">
        <v>320</v>
      </c>
      <c r="B480" s="5" t="s">
        <v>1488</v>
      </c>
      <c r="C480" s="7">
        <v>45296.68439814815</v>
      </c>
      <c r="D480" s="1" t="s">
        <v>1489</v>
      </c>
      <c r="F480" s="3">
        <f>IFERROR(__xludf.DUMMYFUNCTION("INT((DATE(INDEX(SPLIT(B480,""/| |:""),3), INDEX(SPLIT(B480,""/| |:""),2), INDEX(SPLIT(B480,""/| |:""),1)) + TIME(INDEX(SPLIT(B480,""/| |:""),4), INDEX(SPLIT(B480,""/| |:""),5), INDEX(SPLIT(B480,""/| |:""),6)) - DATE(1970,1,1)) * 86400)"),1.710692732E9)</f>
        <v>1710692732</v>
      </c>
      <c r="G480" s="3">
        <f>IFERROR(__xludf.DUMMYFUNCTION("INT((DATE(INDEX(SPLIT(C480,""/| |:""),3), INDEX(SPLIT(C480,""/| |:""),2), INDEX(SPLIT(C480,""/| |:""),1)) + TIME(INDEX(SPLIT(C480,""/| |:""),4), INDEX(SPLIT(C480,""/| |:""),5), INDEX(SPLIT(C480,""/| |:""),6)) - DATE(1970,1,1)) * 86400)"),1.714580732E9)</f>
        <v>1714580732</v>
      </c>
    </row>
    <row r="481">
      <c r="A481" s="1" t="s">
        <v>417</v>
      </c>
      <c r="B481" s="5" t="s">
        <v>1490</v>
      </c>
      <c r="C481" s="7">
        <v>45413.740266203706</v>
      </c>
      <c r="D481" s="1" t="s">
        <v>1491</v>
      </c>
      <c r="F481" s="3">
        <f>IFERROR(__xludf.DUMMYFUNCTION("INT((DATE(INDEX(SPLIT(B481,""/| |:""),3), INDEX(SPLIT(B481,""/| |:""),2), INDEX(SPLIT(B481,""/| |:""),1)) + TIME(INDEX(SPLIT(B481,""/| |:""),4), INDEX(SPLIT(B481,""/| |:""),5), INDEX(SPLIT(B481,""/| |:""),6)) - DATE(1970,1,1)) * 86400)"),1.700588759E9)</f>
        <v>1700588759</v>
      </c>
      <c r="G481" s="3">
        <f>IFERROR(__xludf.DUMMYFUNCTION("INT((DATE(INDEX(SPLIT(C481,""/| |:""),3), INDEX(SPLIT(C481,""/| |:""),2), INDEX(SPLIT(C481,""/| |:""),1)) + TIME(INDEX(SPLIT(C481,""/| |:""),4), INDEX(SPLIT(C481,""/| |:""),5), INDEX(SPLIT(C481,""/| |:""),6)) - DATE(1970,1,1)) * 86400)"),1.704476759E9)</f>
        <v>1704476759</v>
      </c>
    </row>
    <row r="482">
      <c r="A482" s="1" t="s">
        <v>319</v>
      </c>
      <c r="B482" s="5" t="s">
        <v>1492</v>
      </c>
      <c r="C482" s="7">
        <v>45327.45824074074</v>
      </c>
      <c r="D482" s="1" t="s">
        <v>1493</v>
      </c>
      <c r="F482" s="3">
        <f>IFERROR(__xludf.DUMMYFUNCTION("INT((DATE(INDEX(SPLIT(B482,""/| |:""),3), INDEX(SPLIT(B482,""/| |:""),2), INDEX(SPLIT(B482,""/| |:""),1)) + TIME(INDEX(SPLIT(B482,""/| |:""),4), INDEX(SPLIT(B482,""/| |:""),5), INDEX(SPLIT(B482,""/| |:""),6)) - DATE(1970,1,1)) * 86400)"),1.710759592E9)</f>
        <v>1710759592</v>
      </c>
      <c r="G482" s="3">
        <f>IFERROR(__xludf.DUMMYFUNCTION("INT((DATE(INDEX(SPLIT(C482,""/| |:""),3), INDEX(SPLIT(C482,""/| |:""),2), INDEX(SPLIT(C482,""/| |:""),1)) + TIME(INDEX(SPLIT(C482,""/| |:""),4), INDEX(SPLIT(C482,""/| |:""),5), INDEX(SPLIT(C482,""/| |:""),6)) - DATE(1970,1,1)) * 86400)"),1.714647592E9)</f>
        <v>1714647592</v>
      </c>
    </row>
    <row r="483">
      <c r="A483" s="1" t="s">
        <v>9</v>
      </c>
      <c r="B483" s="5" t="s">
        <v>1494</v>
      </c>
      <c r="C483" s="7">
        <v>45387.457280092596</v>
      </c>
      <c r="D483" s="1" t="s">
        <v>1495</v>
      </c>
      <c r="F483" s="3">
        <f>IFERROR(__xludf.DUMMYFUNCTION("INT((DATE(INDEX(SPLIT(B483,""/| |:""),3), INDEX(SPLIT(B483,""/| |:""),2), INDEX(SPLIT(B483,""/| |:""),1)) + TIME(INDEX(SPLIT(B483,""/| |:""),4), INDEX(SPLIT(B483,""/| |:""),5), INDEX(SPLIT(B483,""/| |:""),6)) - DATE(1970,1,1)) * 86400)"),1.710932309E9)</f>
        <v>1710932309</v>
      </c>
      <c r="G483" s="3">
        <f>IFERROR(__xludf.DUMMYFUNCTION("INT((DATE(INDEX(SPLIT(C483,""/| |:""),3), INDEX(SPLIT(C483,""/| |:""),2), INDEX(SPLIT(C483,""/| |:""),1)) + TIME(INDEX(SPLIT(C483,""/| |:""),4), INDEX(SPLIT(C483,""/| |:""),5), INDEX(SPLIT(C483,""/| |:""),6)) - DATE(1970,1,1)) * 86400)"),1.714820309E9)</f>
        <v>1714820309</v>
      </c>
    </row>
    <row r="484">
      <c r="A484" s="1" t="s">
        <v>318</v>
      </c>
      <c r="B484" s="5" t="s">
        <v>1496</v>
      </c>
      <c r="C484" s="7">
        <v>45387.568703703706</v>
      </c>
      <c r="D484" s="1" t="s">
        <v>1497</v>
      </c>
      <c r="F484" s="3">
        <f>IFERROR(__xludf.DUMMYFUNCTION("INT((DATE(INDEX(SPLIT(B484,""/| |:""),3), INDEX(SPLIT(B484,""/| |:""),2), INDEX(SPLIT(B484,""/| |:""),1)) + TIME(INDEX(SPLIT(B484,""/| |:""),4), INDEX(SPLIT(B484,""/| |:""),5), INDEX(SPLIT(B484,""/| |:""),6)) - DATE(1970,1,1)) * 86400)"),1.710941936E9)</f>
        <v>1710941936</v>
      </c>
      <c r="G484" s="3">
        <f>IFERROR(__xludf.DUMMYFUNCTION("INT((DATE(INDEX(SPLIT(C484,""/| |:""),3), INDEX(SPLIT(C484,""/| |:""),2), INDEX(SPLIT(C484,""/| |:""),1)) + TIME(INDEX(SPLIT(C484,""/| |:""),4), INDEX(SPLIT(C484,""/| |:""),5), INDEX(SPLIT(C484,""/| |:""),6)) - DATE(1970,1,1)) * 86400)"),1.714829936E9)</f>
        <v>1714829936</v>
      </c>
    </row>
    <row r="485">
      <c r="A485" s="1" t="s">
        <v>317</v>
      </c>
      <c r="B485" s="5" t="s">
        <v>1498</v>
      </c>
      <c r="C485" s="7">
        <v>45387.660532407404</v>
      </c>
      <c r="D485" s="1" t="s">
        <v>1499</v>
      </c>
      <c r="F485" s="3">
        <f>IFERROR(__xludf.DUMMYFUNCTION("INT((DATE(INDEX(SPLIT(B485,""/| |:""),3), INDEX(SPLIT(B485,""/| |:""),2), INDEX(SPLIT(B485,""/| |:""),1)) + TIME(INDEX(SPLIT(B485,""/| |:""),4), INDEX(SPLIT(B485,""/| |:""),5), INDEX(SPLIT(B485,""/| |:""),6)) - DATE(1970,1,1)) * 86400)"),1.71094987E9)</f>
        <v>1710949870</v>
      </c>
      <c r="G485" s="3">
        <f>IFERROR(__xludf.DUMMYFUNCTION("INT((DATE(INDEX(SPLIT(C485,""/| |:""),3), INDEX(SPLIT(C485,""/| |:""),2), INDEX(SPLIT(C485,""/| |:""),1)) + TIME(INDEX(SPLIT(C485,""/| |:""),4), INDEX(SPLIT(C485,""/| |:""),5), INDEX(SPLIT(C485,""/| |:""),6)) - DATE(1970,1,1)) * 86400)"),1.71483787E9)</f>
        <v>1714837870</v>
      </c>
    </row>
    <row r="486">
      <c r="A486" s="1" t="s">
        <v>120</v>
      </c>
      <c r="B486" s="5" t="s">
        <v>1500</v>
      </c>
      <c r="C486" s="7">
        <v>45417.15384259259</v>
      </c>
      <c r="D486" s="1" t="s">
        <v>1501</v>
      </c>
      <c r="F486" s="3">
        <f>IFERROR(__xludf.DUMMYFUNCTION("INT((DATE(INDEX(SPLIT(B486,""/| |:""),3), INDEX(SPLIT(B486,""/| |:""),2), INDEX(SPLIT(B486,""/| |:""),1)) + TIME(INDEX(SPLIT(B486,""/| |:""),4), INDEX(SPLIT(B486,""/| |:""),5), INDEX(SPLIT(B486,""/| |:""),6)) - DATE(1970,1,1)) * 86400)"),1.710992492E9)</f>
        <v>1710992492</v>
      </c>
      <c r="G486" s="3">
        <f>IFERROR(__xludf.DUMMYFUNCTION("INT((DATE(INDEX(SPLIT(C486,""/| |:""),3), INDEX(SPLIT(C486,""/| |:""),2), INDEX(SPLIT(C486,""/| |:""),1)) + TIME(INDEX(SPLIT(C486,""/| |:""),4), INDEX(SPLIT(C486,""/| |:""),5), INDEX(SPLIT(C486,""/| |:""),6)) - DATE(1970,1,1)) * 86400)"),1.714880492E9)</f>
        <v>1714880492</v>
      </c>
    </row>
    <row r="487">
      <c r="A487" s="1" t="s">
        <v>316</v>
      </c>
      <c r="B487" s="5" t="s">
        <v>1502</v>
      </c>
      <c r="C487" s="7">
        <v>45417.19641203704</v>
      </c>
      <c r="D487" s="1" t="s">
        <v>1503</v>
      </c>
      <c r="F487" s="3">
        <f>IFERROR(__xludf.DUMMYFUNCTION("INT((DATE(INDEX(SPLIT(B487,""/| |:""),3), INDEX(SPLIT(B487,""/| |:""),2), INDEX(SPLIT(B487,""/| |:""),1)) + TIME(INDEX(SPLIT(B487,""/| |:""),4), INDEX(SPLIT(B487,""/| |:""),5), INDEX(SPLIT(B487,""/| |:""),6)) - DATE(1970,1,1)) * 86400)"),1.71099617E9)</f>
        <v>1710996170</v>
      </c>
      <c r="G487" s="3">
        <f>IFERROR(__xludf.DUMMYFUNCTION("INT((DATE(INDEX(SPLIT(C487,""/| |:""),3), INDEX(SPLIT(C487,""/| |:""),2), INDEX(SPLIT(C487,""/| |:""),1)) + TIME(INDEX(SPLIT(C487,""/| |:""),4), INDEX(SPLIT(C487,""/| |:""),5), INDEX(SPLIT(C487,""/| |:""),6)) - DATE(1970,1,1)) * 86400)"),1.71488417E9)</f>
        <v>1714884170</v>
      </c>
    </row>
    <row r="488">
      <c r="A488" s="1" t="s">
        <v>315</v>
      </c>
      <c r="B488" s="5" t="s">
        <v>1504</v>
      </c>
      <c r="C488" s="7">
        <v>45417.485127314816</v>
      </c>
      <c r="D488" s="1" t="s">
        <v>1505</v>
      </c>
      <c r="F488" s="3">
        <f>IFERROR(__xludf.DUMMYFUNCTION("INT((DATE(INDEX(SPLIT(B488,""/| |:""),3), INDEX(SPLIT(B488,""/| |:""),2), INDEX(SPLIT(B488,""/| |:""),1)) + TIME(INDEX(SPLIT(B488,""/| |:""),4), INDEX(SPLIT(B488,""/| |:""),5), INDEX(SPLIT(B488,""/| |:""),6)) - DATE(1970,1,1)) * 86400)"),1.711021115E9)</f>
        <v>1711021115</v>
      </c>
      <c r="G488" s="3">
        <f>IFERROR(__xludf.DUMMYFUNCTION("INT((DATE(INDEX(SPLIT(C488,""/| |:""),3), INDEX(SPLIT(C488,""/| |:""),2), INDEX(SPLIT(C488,""/| |:""),1)) + TIME(INDEX(SPLIT(C488,""/| |:""),4), INDEX(SPLIT(C488,""/| |:""),5), INDEX(SPLIT(C488,""/| |:""),6)) - DATE(1970,1,1)) * 86400)"),1.714909115E9)</f>
        <v>1714909115</v>
      </c>
    </row>
    <row r="489">
      <c r="A489" s="1" t="s">
        <v>314</v>
      </c>
      <c r="B489" s="5" t="s">
        <v>1506</v>
      </c>
      <c r="C489" s="7">
        <v>45417.48998842593</v>
      </c>
      <c r="D489" s="1" t="s">
        <v>1507</v>
      </c>
      <c r="F489" s="3">
        <f>IFERROR(__xludf.DUMMYFUNCTION("INT((DATE(INDEX(SPLIT(B489,""/| |:""),3), INDEX(SPLIT(B489,""/| |:""),2), INDEX(SPLIT(B489,""/| |:""),1)) + TIME(INDEX(SPLIT(B489,""/| |:""),4), INDEX(SPLIT(B489,""/| |:""),5), INDEX(SPLIT(B489,""/| |:""),6)) - DATE(1970,1,1)) * 86400)"),1.711021535E9)</f>
        <v>1711021535</v>
      </c>
      <c r="G489" s="3">
        <f>IFERROR(__xludf.DUMMYFUNCTION("INT((DATE(INDEX(SPLIT(C489,""/| |:""),3), INDEX(SPLIT(C489,""/| |:""),2), INDEX(SPLIT(C489,""/| |:""),1)) + TIME(INDEX(SPLIT(C489,""/| |:""),4), INDEX(SPLIT(C489,""/| |:""),5), INDEX(SPLIT(C489,""/| |:""),6)) - DATE(1970,1,1)) * 86400)"),1.714909535E9)</f>
        <v>1714909535</v>
      </c>
    </row>
    <row r="490">
      <c r="A490" s="1" t="s">
        <v>313</v>
      </c>
      <c r="B490" s="5" t="s">
        <v>1508</v>
      </c>
      <c r="C490" s="7">
        <v>45417.70085648148</v>
      </c>
      <c r="D490" s="1" t="s">
        <v>1509</v>
      </c>
      <c r="F490" s="3">
        <f>IFERROR(__xludf.DUMMYFUNCTION("INT((DATE(INDEX(SPLIT(B490,""/| |:""),3), INDEX(SPLIT(B490,""/| |:""),2), INDEX(SPLIT(B490,""/| |:""),1)) + TIME(INDEX(SPLIT(B490,""/| |:""),4), INDEX(SPLIT(B490,""/| |:""),5), INDEX(SPLIT(B490,""/| |:""),6)) - DATE(1970,1,1)) * 86400)"),1.711039754E9)</f>
        <v>1711039754</v>
      </c>
      <c r="G490" s="3">
        <f>IFERROR(__xludf.DUMMYFUNCTION("INT((DATE(INDEX(SPLIT(C490,""/| |:""),3), INDEX(SPLIT(C490,""/| |:""),2), INDEX(SPLIT(C490,""/| |:""),1)) + TIME(INDEX(SPLIT(C490,""/| |:""),4), INDEX(SPLIT(C490,""/| |:""),5), INDEX(SPLIT(C490,""/| |:""),6)) - DATE(1970,1,1)) * 86400)"),1.714927754E9)</f>
        <v>1714927754</v>
      </c>
    </row>
    <row r="491">
      <c r="A491" s="1" t="s">
        <v>312</v>
      </c>
      <c r="B491" s="5" t="s">
        <v>1510</v>
      </c>
      <c r="C491" s="7">
        <v>45448.42417824074</v>
      </c>
      <c r="D491" s="1" t="s">
        <v>1511</v>
      </c>
      <c r="F491" s="3">
        <f>IFERROR(__xludf.DUMMYFUNCTION("INT((DATE(INDEX(SPLIT(B491,""/| |:""),3), INDEX(SPLIT(B491,""/| |:""),2), INDEX(SPLIT(B491,""/| |:""),1)) + TIME(INDEX(SPLIT(B491,""/| |:""),4), INDEX(SPLIT(B491,""/| |:""),5), INDEX(SPLIT(B491,""/| |:""),6)) - DATE(1970,1,1)) * 86400)"),1.711102249E9)</f>
        <v>1711102249</v>
      </c>
      <c r="G491" s="3">
        <f>IFERROR(__xludf.DUMMYFUNCTION("INT((DATE(INDEX(SPLIT(C491,""/| |:""),3), INDEX(SPLIT(C491,""/| |:""),2), INDEX(SPLIT(C491,""/| |:""),1)) + TIME(INDEX(SPLIT(C491,""/| |:""),4), INDEX(SPLIT(C491,""/| |:""),5), INDEX(SPLIT(C491,""/| |:""),6)) - DATE(1970,1,1)) * 86400)"),1.714990249E9)</f>
        <v>1714990249</v>
      </c>
    </row>
    <row r="492">
      <c r="A492" s="1" t="s">
        <v>418</v>
      </c>
      <c r="B492" s="5">
        <v>45028.74181712963</v>
      </c>
      <c r="C492" s="1" t="s">
        <v>1512</v>
      </c>
      <c r="D492" s="1" t="s">
        <v>1513</v>
      </c>
      <c r="F492" s="3">
        <f>IFERROR(__xludf.DUMMYFUNCTION("INT((DATE(INDEX(SPLIT(B492,""/| |:""),3), INDEX(SPLIT(B492,""/| |:""),2), INDEX(SPLIT(B492,""/| |:""),1)) + TIME(INDEX(SPLIT(B492,""/| |:""),4), INDEX(SPLIT(B492,""/| |:""),5), INDEX(SPLIT(B492,""/| |:""),6)) - DATE(1970,1,1)) * 86400)"),1.701712093E9)</f>
        <v>1701712093</v>
      </c>
      <c r="G492" s="3">
        <f>IFERROR(__xludf.DUMMYFUNCTION("INT((DATE(INDEX(SPLIT(C492,""/| |:""),3), INDEX(SPLIT(C492,""/| |:""),2), INDEX(SPLIT(C492,""/| |:""),1)) + TIME(INDEX(SPLIT(C492,""/| |:""),4), INDEX(SPLIT(C492,""/| |:""),5), INDEX(SPLIT(C492,""/| |:""),6)) - DATE(1970,1,1)) * 86400)"),1.705600093E9)</f>
        <v>1705600093</v>
      </c>
    </row>
    <row r="493">
      <c r="A493" s="1" t="s">
        <v>419</v>
      </c>
      <c r="B493" s="5">
        <v>44997.89806712963</v>
      </c>
      <c r="C493" s="1" t="s">
        <v>1514</v>
      </c>
      <c r="D493" s="1" t="s">
        <v>1513</v>
      </c>
      <c r="F493" s="3">
        <f>IFERROR(__xludf.DUMMYFUNCTION("INT((DATE(INDEX(SPLIT(B493,""/| |:""),3), INDEX(SPLIT(B493,""/| |:""),2), INDEX(SPLIT(B493,""/| |:""),1)) + TIME(INDEX(SPLIT(B493,""/| |:""),4), INDEX(SPLIT(B493,""/| |:""),5), INDEX(SPLIT(B493,""/| |:""),6)) - DATE(1970,1,1)) * 86400)"),1.701639193E9)</f>
        <v>1701639193</v>
      </c>
      <c r="G493" s="3">
        <f>IFERROR(__xludf.DUMMYFUNCTION("INT((DATE(INDEX(SPLIT(C493,""/| |:""),3), INDEX(SPLIT(C493,""/| |:""),2), INDEX(SPLIT(C493,""/| |:""),1)) + TIME(INDEX(SPLIT(C493,""/| |:""),4), INDEX(SPLIT(C493,""/| |:""),5), INDEX(SPLIT(C493,""/| |:""),6)) - DATE(1970,1,1)) * 86400)"),1.705527193E9)</f>
        <v>1705527193</v>
      </c>
    </row>
    <row r="494">
      <c r="A494" s="1" t="s">
        <v>311</v>
      </c>
      <c r="B494" s="5" t="s">
        <v>1515</v>
      </c>
      <c r="C494" s="7">
        <v>45509.455196759256</v>
      </c>
      <c r="D494" s="1" t="s">
        <v>1516</v>
      </c>
      <c r="F494" s="3">
        <f>IFERROR(__xludf.DUMMYFUNCTION("INT((DATE(INDEX(SPLIT(B494,""/| |:""),3), INDEX(SPLIT(B494,""/| |:""),2), INDEX(SPLIT(B494,""/| |:""),1)) + TIME(INDEX(SPLIT(B494,""/| |:""),4), INDEX(SPLIT(B494,""/| |:""),5), INDEX(SPLIT(B494,""/| |:""),6)) - DATE(1970,1,1)) * 86400)"),1.711277729E9)</f>
        <v>1711277729</v>
      </c>
      <c r="G494" s="3">
        <f>IFERROR(__xludf.DUMMYFUNCTION("INT((DATE(INDEX(SPLIT(C494,""/| |:""),3), INDEX(SPLIT(C494,""/| |:""),2), INDEX(SPLIT(C494,""/| |:""),1)) + TIME(INDEX(SPLIT(C494,""/| |:""),4), INDEX(SPLIT(C494,""/| |:""),5), INDEX(SPLIT(C494,""/| |:""),6)) - DATE(1970,1,1)) * 86400)"),1.715165729E9)</f>
        <v>1715165729</v>
      </c>
    </row>
    <row r="495">
      <c r="A495" s="1" t="s">
        <v>310</v>
      </c>
      <c r="B495" s="5" t="s">
        <v>1517</v>
      </c>
      <c r="C495" s="7">
        <v>45509.766076388885</v>
      </c>
      <c r="D495" s="1" t="s">
        <v>1518</v>
      </c>
      <c r="F495" s="3">
        <f>IFERROR(__xludf.DUMMYFUNCTION("INT((DATE(INDEX(SPLIT(B495,""/| |:""),3), INDEX(SPLIT(B495,""/| |:""),2), INDEX(SPLIT(B495,""/| |:""),1)) + TIME(INDEX(SPLIT(B495,""/| |:""),4), INDEX(SPLIT(B495,""/| |:""),5), INDEX(SPLIT(B495,""/| |:""),6)) - DATE(1970,1,1)) * 86400)"),1.711304589E9)</f>
        <v>1711304589</v>
      </c>
      <c r="G495" s="3">
        <f>IFERROR(__xludf.DUMMYFUNCTION("INT((DATE(INDEX(SPLIT(C495,""/| |:""),3), INDEX(SPLIT(C495,""/| |:""),2), INDEX(SPLIT(C495,""/| |:""),1)) + TIME(INDEX(SPLIT(C495,""/| |:""),4), INDEX(SPLIT(C495,""/| |:""),5), INDEX(SPLIT(C495,""/| |:""),6)) - DATE(1970,1,1)) * 86400)"),1.715192589E9)</f>
        <v>1715192589</v>
      </c>
    </row>
    <row r="496">
      <c r="A496" s="1" t="s">
        <v>309</v>
      </c>
      <c r="B496" s="5" t="s">
        <v>1519</v>
      </c>
      <c r="C496" s="7">
        <v>45509.90724537037</v>
      </c>
      <c r="D496" s="1" t="s">
        <v>1520</v>
      </c>
      <c r="F496" s="3">
        <f>IFERROR(__xludf.DUMMYFUNCTION("INT((DATE(INDEX(SPLIT(B496,""/| |:""),3), INDEX(SPLIT(B496,""/| |:""),2), INDEX(SPLIT(B496,""/| |:""),1)) + TIME(INDEX(SPLIT(B496,""/| |:""),4), INDEX(SPLIT(B496,""/| |:""),5), INDEX(SPLIT(B496,""/| |:""),6)) - DATE(1970,1,1)) * 86400)"),1.711316786E9)</f>
        <v>1711316786</v>
      </c>
      <c r="G496" s="3">
        <f>IFERROR(__xludf.DUMMYFUNCTION("INT((DATE(INDEX(SPLIT(C496,""/| |:""),3), INDEX(SPLIT(C496,""/| |:""),2), INDEX(SPLIT(C496,""/| |:""),1)) + TIME(INDEX(SPLIT(C496,""/| |:""),4), INDEX(SPLIT(C496,""/| |:""),5), INDEX(SPLIT(C496,""/| |:""),6)) - DATE(1970,1,1)) * 86400)"),1.715204786E9)</f>
        <v>1715204786</v>
      </c>
    </row>
    <row r="497">
      <c r="A497" s="1" t="s">
        <v>308</v>
      </c>
      <c r="B497" s="5" t="s">
        <v>1521</v>
      </c>
      <c r="C497" s="7">
        <v>45540.44472222222</v>
      </c>
      <c r="D497" s="1" t="s">
        <v>1522</v>
      </c>
      <c r="F497" s="3">
        <f>IFERROR(__xludf.DUMMYFUNCTION("INT((DATE(INDEX(SPLIT(B497,""/| |:""),3), INDEX(SPLIT(B497,""/| |:""),2), INDEX(SPLIT(B497,""/| |:""),1)) + TIME(INDEX(SPLIT(B497,""/| |:""),4), INDEX(SPLIT(B497,""/| |:""),5), INDEX(SPLIT(B497,""/| |:""),6)) - DATE(1970,1,1)) * 86400)"),1.711363224E9)</f>
        <v>1711363224</v>
      </c>
      <c r="G497" s="3">
        <f>IFERROR(__xludf.DUMMYFUNCTION("INT((DATE(INDEX(SPLIT(C497,""/| |:""),3), INDEX(SPLIT(C497,""/| |:""),2), INDEX(SPLIT(C497,""/| |:""),1)) + TIME(INDEX(SPLIT(C497,""/| |:""),4), INDEX(SPLIT(C497,""/| |:""),5), INDEX(SPLIT(C497,""/| |:""),6)) - DATE(1970,1,1)) * 86400)"),1.715251224E9)</f>
        <v>1715251224</v>
      </c>
    </row>
    <row r="498">
      <c r="A498" s="1" t="s">
        <v>307</v>
      </c>
      <c r="B498" s="5" t="s">
        <v>1523</v>
      </c>
      <c r="C498" s="7">
        <v>45540.4946412037</v>
      </c>
      <c r="D498" s="1" t="s">
        <v>1524</v>
      </c>
      <c r="F498" s="3">
        <f>IFERROR(__xludf.DUMMYFUNCTION("INT((DATE(INDEX(SPLIT(B498,""/| |:""),3), INDEX(SPLIT(B498,""/| |:""),2), INDEX(SPLIT(B498,""/| |:""),1)) + TIME(INDEX(SPLIT(B498,""/| |:""),4), INDEX(SPLIT(B498,""/| |:""),5), INDEX(SPLIT(B498,""/| |:""),6)) - DATE(1970,1,1)) * 86400)"),1.711367537E9)</f>
        <v>1711367537</v>
      </c>
      <c r="G498" s="3">
        <f>IFERROR(__xludf.DUMMYFUNCTION("INT((DATE(INDEX(SPLIT(C498,""/| |:""),3), INDEX(SPLIT(C498,""/| |:""),2), INDEX(SPLIT(C498,""/| |:""),1)) + TIME(INDEX(SPLIT(C498,""/| |:""),4), INDEX(SPLIT(C498,""/| |:""),5), INDEX(SPLIT(C498,""/| |:""),6)) - DATE(1970,1,1)) * 86400)"),1.715255537E9)</f>
        <v>1715255537</v>
      </c>
    </row>
    <row r="499">
      <c r="A499" s="1" t="s">
        <v>306</v>
      </c>
      <c r="B499" s="5" t="s">
        <v>1525</v>
      </c>
      <c r="C499" s="7">
        <v>45540.51259259259</v>
      </c>
      <c r="D499" s="1" t="s">
        <v>1526</v>
      </c>
      <c r="F499" s="3">
        <f>IFERROR(__xludf.DUMMYFUNCTION("INT((DATE(INDEX(SPLIT(B499,""/| |:""),3), INDEX(SPLIT(B499,""/| |:""),2), INDEX(SPLIT(B499,""/| |:""),1)) + TIME(INDEX(SPLIT(B499,""/| |:""),4), INDEX(SPLIT(B499,""/| |:""),5), INDEX(SPLIT(B499,""/| |:""),6)) - DATE(1970,1,1)) * 86400)"),1.711369088E9)</f>
        <v>1711369088</v>
      </c>
      <c r="G499" s="3">
        <f>IFERROR(__xludf.DUMMYFUNCTION("INT((DATE(INDEX(SPLIT(C499,""/| |:""),3), INDEX(SPLIT(C499,""/| |:""),2), INDEX(SPLIT(C499,""/| |:""),1)) + TIME(INDEX(SPLIT(C499,""/| |:""),4), INDEX(SPLIT(C499,""/| |:""),5), INDEX(SPLIT(C499,""/| |:""),6)) - DATE(1970,1,1)) * 86400)"),1.715257088E9)</f>
        <v>1715257088</v>
      </c>
    </row>
    <row r="500">
      <c r="A500" s="1" t="s">
        <v>305</v>
      </c>
      <c r="B500" s="5" t="s">
        <v>1527</v>
      </c>
      <c r="C500" s="7">
        <v>45540.654027777775</v>
      </c>
      <c r="D500" s="1" t="s">
        <v>1528</v>
      </c>
      <c r="F500" s="3">
        <f>IFERROR(__xludf.DUMMYFUNCTION("INT((DATE(INDEX(SPLIT(B500,""/| |:""),3), INDEX(SPLIT(B500,""/| |:""),2), INDEX(SPLIT(B500,""/| |:""),1)) + TIME(INDEX(SPLIT(B500,""/| |:""),4), INDEX(SPLIT(B500,""/| |:""),5), INDEX(SPLIT(B500,""/| |:""),6)) - DATE(1970,1,1)) * 86400)"),1.711381308E9)</f>
        <v>1711381308</v>
      </c>
      <c r="G500" s="3">
        <f>IFERROR(__xludf.DUMMYFUNCTION("INT((DATE(INDEX(SPLIT(C500,""/| |:""),3), INDEX(SPLIT(C500,""/| |:""),2), INDEX(SPLIT(C500,""/| |:""),1)) + TIME(INDEX(SPLIT(C500,""/| |:""),4), INDEX(SPLIT(C500,""/| |:""),5), INDEX(SPLIT(C500,""/| |:""),6)) - DATE(1970,1,1)) * 86400)"),1.715269308E9)</f>
        <v>1715269308</v>
      </c>
    </row>
    <row r="501">
      <c r="A501" s="1" t="s">
        <v>304</v>
      </c>
      <c r="B501" s="5" t="s">
        <v>1529</v>
      </c>
      <c r="C501" s="7">
        <v>45540.65888888889</v>
      </c>
      <c r="D501" s="1" t="s">
        <v>1530</v>
      </c>
      <c r="F501" s="3">
        <f>IFERROR(__xludf.DUMMYFUNCTION("INT((DATE(INDEX(SPLIT(B501,""/| |:""),3), INDEX(SPLIT(B501,""/| |:""),2), INDEX(SPLIT(B501,""/| |:""),1)) + TIME(INDEX(SPLIT(B501,""/| |:""),4), INDEX(SPLIT(B501,""/| |:""),5), INDEX(SPLIT(B501,""/| |:""),6)) - DATE(1970,1,1)) * 86400)"),1.711381728E9)</f>
        <v>1711381728</v>
      </c>
      <c r="G501" s="3">
        <f>IFERROR(__xludf.DUMMYFUNCTION("INT((DATE(INDEX(SPLIT(C501,""/| |:""),3), INDEX(SPLIT(C501,""/| |:""),2), INDEX(SPLIT(C501,""/| |:""),1)) + TIME(INDEX(SPLIT(C501,""/| |:""),4), INDEX(SPLIT(C501,""/| |:""),5), INDEX(SPLIT(C501,""/| |:""),6)) - DATE(1970,1,1)) * 86400)"),1.715269728E9)</f>
        <v>1715269728</v>
      </c>
    </row>
    <row r="502">
      <c r="A502" s="1" t="s">
        <v>303</v>
      </c>
      <c r="B502" s="5" t="s">
        <v>1531</v>
      </c>
      <c r="C502" s="7">
        <v>45540.67239583333</v>
      </c>
      <c r="D502" s="1" t="s">
        <v>1532</v>
      </c>
      <c r="F502" s="3">
        <f>IFERROR(__xludf.DUMMYFUNCTION("INT((DATE(INDEX(SPLIT(B502,""/| |:""),3), INDEX(SPLIT(B502,""/| |:""),2), INDEX(SPLIT(B502,""/| |:""),1)) + TIME(INDEX(SPLIT(B502,""/| |:""),4), INDEX(SPLIT(B502,""/| |:""),5), INDEX(SPLIT(B502,""/| |:""),6)) - DATE(1970,1,1)) * 86400)"),1.711382895E9)</f>
        <v>1711382895</v>
      </c>
      <c r="G502" s="3">
        <f>IFERROR(__xludf.DUMMYFUNCTION("INT((DATE(INDEX(SPLIT(C502,""/| |:""),3), INDEX(SPLIT(C502,""/| |:""),2), INDEX(SPLIT(C502,""/| |:""),1)) + TIME(INDEX(SPLIT(C502,""/| |:""),4), INDEX(SPLIT(C502,""/| |:""),5), INDEX(SPLIT(C502,""/| |:""),6)) - DATE(1970,1,1)) * 86400)"),1.715270895E9)</f>
        <v>1715270895</v>
      </c>
    </row>
    <row r="503">
      <c r="A503" s="1" t="s">
        <v>302</v>
      </c>
      <c r="B503" s="5" t="s">
        <v>1533</v>
      </c>
      <c r="C503" s="7">
        <v>45540.67690972222</v>
      </c>
      <c r="D503" s="1" t="s">
        <v>1534</v>
      </c>
      <c r="F503" s="3">
        <f>IFERROR(__xludf.DUMMYFUNCTION("INT((DATE(INDEX(SPLIT(B503,""/| |:""),3), INDEX(SPLIT(B503,""/| |:""),2), INDEX(SPLIT(B503,""/| |:""),1)) + TIME(INDEX(SPLIT(B503,""/| |:""),4), INDEX(SPLIT(B503,""/| |:""),5), INDEX(SPLIT(B503,""/| |:""),6)) - DATE(1970,1,1)) * 86400)"),1.711383285E9)</f>
        <v>1711383285</v>
      </c>
      <c r="G503" s="3">
        <f>IFERROR(__xludf.DUMMYFUNCTION("INT((DATE(INDEX(SPLIT(C503,""/| |:""),3), INDEX(SPLIT(C503,""/| |:""),2), INDEX(SPLIT(C503,""/| |:""),1)) + TIME(INDEX(SPLIT(C503,""/| |:""),4), INDEX(SPLIT(C503,""/| |:""),5), INDEX(SPLIT(C503,""/| |:""),6)) - DATE(1970,1,1)) * 86400)"),1.715271285E9)</f>
        <v>1715271285</v>
      </c>
    </row>
    <row r="504">
      <c r="A504" s="1" t="s">
        <v>301</v>
      </c>
      <c r="B504" s="5" t="s">
        <v>1535</v>
      </c>
      <c r="C504" s="7">
        <v>45570.47503472222</v>
      </c>
      <c r="D504" s="1" t="s">
        <v>1536</v>
      </c>
      <c r="F504" s="3">
        <f>IFERROR(__xludf.DUMMYFUNCTION("INT((DATE(INDEX(SPLIT(B504,""/| |:""),3), INDEX(SPLIT(B504,""/| |:""),2), INDEX(SPLIT(B504,""/| |:""),1)) + TIME(INDEX(SPLIT(B504,""/| |:""),4), INDEX(SPLIT(B504,""/| |:""),5), INDEX(SPLIT(B504,""/| |:""),6)) - DATE(1970,1,1)) * 86400)"),1.711452243E9)</f>
        <v>1711452243</v>
      </c>
      <c r="G504" s="3">
        <f>IFERROR(__xludf.DUMMYFUNCTION("INT((DATE(INDEX(SPLIT(C504,""/| |:""),3), INDEX(SPLIT(C504,""/| |:""),2), INDEX(SPLIT(C504,""/| |:""),1)) + TIME(INDEX(SPLIT(C504,""/| |:""),4), INDEX(SPLIT(C504,""/| |:""),5), INDEX(SPLIT(C504,""/| |:""),6)) - DATE(1970,1,1)) * 86400)"),1.715340243E9)</f>
        <v>1715340243</v>
      </c>
    </row>
    <row r="505">
      <c r="A505" s="1" t="s">
        <v>300</v>
      </c>
      <c r="B505" s="5" t="s">
        <v>1537</v>
      </c>
      <c r="C505" s="7">
        <v>45570.48332175926</v>
      </c>
      <c r="D505" s="1" t="s">
        <v>1538</v>
      </c>
      <c r="F505" s="3">
        <f>IFERROR(__xludf.DUMMYFUNCTION("INT((DATE(INDEX(SPLIT(B505,""/| |:""),3), INDEX(SPLIT(B505,""/| |:""),2), INDEX(SPLIT(B505,""/| |:""),1)) + TIME(INDEX(SPLIT(B505,""/| |:""),4), INDEX(SPLIT(B505,""/| |:""),5), INDEX(SPLIT(B505,""/| |:""),6)) - DATE(1970,1,1)) * 86400)"),1.711452959E9)</f>
        <v>1711452959</v>
      </c>
      <c r="G505" s="3">
        <f>IFERROR(__xludf.DUMMYFUNCTION("INT((DATE(INDEX(SPLIT(C505,""/| |:""),3), INDEX(SPLIT(C505,""/| |:""),2), INDEX(SPLIT(C505,""/| |:""),1)) + TIME(INDEX(SPLIT(C505,""/| |:""),4), INDEX(SPLIT(C505,""/| |:""),5), INDEX(SPLIT(C505,""/| |:""),6)) - DATE(1970,1,1)) * 86400)"),1.715340959E9)</f>
        <v>1715340959</v>
      </c>
    </row>
    <row r="506">
      <c r="A506" s="1" t="s">
        <v>299</v>
      </c>
      <c r="B506" s="5" t="s">
        <v>1539</v>
      </c>
      <c r="C506" s="7">
        <v>45570.66265046296</v>
      </c>
      <c r="D506" s="1" t="s">
        <v>1540</v>
      </c>
      <c r="F506" s="3">
        <f>IFERROR(__xludf.DUMMYFUNCTION("INT((DATE(INDEX(SPLIT(B506,""/| |:""),3), INDEX(SPLIT(B506,""/| |:""),2), INDEX(SPLIT(B506,""/| |:""),1)) + TIME(INDEX(SPLIT(B506,""/| |:""),4), INDEX(SPLIT(B506,""/| |:""),5), INDEX(SPLIT(B506,""/| |:""),6)) - DATE(1970,1,1)) * 86400)"),1.711468453E9)</f>
        <v>1711468453</v>
      </c>
      <c r="G506" s="3">
        <f>IFERROR(__xludf.DUMMYFUNCTION("INT((DATE(INDEX(SPLIT(C506,""/| |:""),3), INDEX(SPLIT(C506,""/| |:""),2), INDEX(SPLIT(C506,""/| |:""),1)) + TIME(INDEX(SPLIT(C506,""/| |:""),4), INDEX(SPLIT(C506,""/| |:""),5), INDEX(SPLIT(C506,""/| |:""),6)) - DATE(1970,1,1)) * 86400)"),1.715356453E9)</f>
        <v>1715356453</v>
      </c>
    </row>
    <row r="507">
      <c r="A507" s="1" t="s">
        <v>144</v>
      </c>
      <c r="B507" s="5">
        <v>44968.61226851852</v>
      </c>
      <c r="C507" s="1" t="s">
        <v>1541</v>
      </c>
      <c r="D507" s="1" t="s">
        <v>1542</v>
      </c>
      <c r="F507" s="3">
        <f>IFERROR(__xludf.DUMMYFUNCTION("INT((DATE(INDEX(SPLIT(B507,""/| |:""),3), INDEX(SPLIT(B507,""/| |:""),2), INDEX(SPLIT(B507,""/| |:""),1)) + TIME(INDEX(SPLIT(B507,""/| |:""),4), INDEX(SPLIT(B507,""/| |:""),5), INDEX(SPLIT(B507,""/| |:""),6)) - DATE(1970,1,1)) * 86400)"),1.6989361E9)</f>
        <v>1698936100</v>
      </c>
      <c r="G507" s="3">
        <f>IFERROR(__xludf.DUMMYFUNCTION("INT((DATE(INDEX(SPLIT(C507,""/| |:""),3), INDEX(SPLIT(C507,""/| |:""),2), INDEX(SPLIT(C507,""/| |:""),1)) + TIME(INDEX(SPLIT(C507,""/| |:""),4), INDEX(SPLIT(C507,""/| |:""),5), INDEX(SPLIT(C507,""/| |:""),6)) - DATE(1970,1,1)) * 86400)"),1.7028241E9)</f>
        <v>1702824100</v>
      </c>
    </row>
    <row r="508">
      <c r="A508" s="1" t="s">
        <v>298</v>
      </c>
      <c r="B508" s="5" t="s">
        <v>1543</v>
      </c>
      <c r="C508" s="7">
        <v>45570.780173611114</v>
      </c>
      <c r="D508" s="1" t="s">
        <v>1544</v>
      </c>
      <c r="F508" s="3">
        <f>IFERROR(__xludf.DUMMYFUNCTION("INT((DATE(INDEX(SPLIT(B508,""/| |:""),3), INDEX(SPLIT(B508,""/| |:""),2), INDEX(SPLIT(B508,""/| |:""),1)) + TIME(INDEX(SPLIT(B508,""/| |:""),4), INDEX(SPLIT(B508,""/| |:""),5), INDEX(SPLIT(B508,""/| |:""),6)) - DATE(1970,1,1)) * 86400)"),1.711478607E9)</f>
        <v>1711478607</v>
      </c>
      <c r="G508" s="3">
        <f>IFERROR(__xludf.DUMMYFUNCTION("INT((DATE(INDEX(SPLIT(C508,""/| |:""),3), INDEX(SPLIT(C508,""/| |:""),2), INDEX(SPLIT(C508,""/| |:""),1)) + TIME(INDEX(SPLIT(C508,""/| |:""),4), INDEX(SPLIT(C508,""/| |:""),5), INDEX(SPLIT(C508,""/| |:""),6)) - DATE(1970,1,1)) * 86400)"),1.715366607E9)</f>
        <v>1715366607</v>
      </c>
    </row>
    <row r="509">
      <c r="A509" s="1" t="s">
        <v>297</v>
      </c>
      <c r="B509" s="5" t="s">
        <v>1545</v>
      </c>
      <c r="C509" s="7">
        <v>45601.4762962963</v>
      </c>
      <c r="D509" s="1" t="s">
        <v>1546</v>
      </c>
      <c r="F509" s="3">
        <f>IFERROR(__xludf.DUMMYFUNCTION("INT((DATE(INDEX(SPLIT(B509,""/| |:""),3), INDEX(SPLIT(B509,""/| |:""),2), INDEX(SPLIT(B509,""/| |:""),1)) + TIME(INDEX(SPLIT(B509,""/| |:""),4), INDEX(SPLIT(B509,""/| |:""),5), INDEX(SPLIT(B509,""/| |:""),6)) - DATE(1970,1,1)) * 86400)"),1.711538752E9)</f>
        <v>1711538752</v>
      </c>
      <c r="G509" s="3">
        <f>IFERROR(__xludf.DUMMYFUNCTION("INT((DATE(INDEX(SPLIT(C509,""/| |:""),3), INDEX(SPLIT(C509,""/| |:""),2), INDEX(SPLIT(C509,""/| |:""),1)) + TIME(INDEX(SPLIT(C509,""/| |:""),4), INDEX(SPLIT(C509,""/| |:""),5), INDEX(SPLIT(C509,""/| |:""),6)) - DATE(1970,1,1)) * 86400)"),1.715426752E9)</f>
        <v>1715426752</v>
      </c>
    </row>
    <row r="510">
      <c r="A510" s="1" t="s">
        <v>296</v>
      </c>
      <c r="B510" s="5" t="s">
        <v>1547</v>
      </c>
      <c r="C510" s="7">
        <v>45631.5171412037</v>
      </c>
      <c r="D510" s="1" t="s">
        <v>1548</v>
      </c>
      <c r="F510" s="3">
        <f>IFERROR(__xludf.DUMMYFUNCTION("INT((DATE(INDEX(SPLIT(B510,""/| |:""),3), INDEX(SPLIT(B510,""/| |:""),2), INDEX(SPLIT(B510,""/| |:""),1)) + TIME(INDEX(SPLIT(B510,""/| |:""),4), INDEX(SPLIT(B510,""/| |:""),5), INDEX(SPLIT(B510,""/| |:""),6)) - DATE(1970,1,1)) * 86400)"),1.711628681E9)</f>
        <v>1711628681</v>
      </c>
      <c r="G510" s="3">
        <f>IFERROR(__xludf.DUMMYFUNCTION("INT((DATE(INDEX(SPLIT(C510,""/| |:""),3), INDEX(SPLIT(C510,""/| |:""),2), INDEX(SPLIT(C510,""/| |:""),1)) + TIME(INDEX(SPLIT(C510,""/| |:""),4), INDEX(SPLIT(C510,""/| |:""),5), INDEX(SPLIT(C510,""/| |:""),6)) - DATE(1970,1,1)) * 86400)"),1.715516681E9)</f>
        <v>1715516681</v>
      </c>
    </row>
    <row r="511">
      <c r="A511" s="1" t="s">
        <v>295</v>
      </c>
      <c r="B511" s="5" t="s">
        <v>1549</v>
      </c>
      <c r="C511" s="7">
        <v>45631.678136574075</v>
      </c>
      <c r="D511" s="1" t="s">
        <v>1550</v>
      </c>
      <c r="F511" s="3">
        <f>IFERROR(__xludf.DUMMYFUNCTION("INT((DATE(INDEX(SPLIT(B511,""/| |:""),3), INDEX(SPLIT(B511,""/| |:""),2), INDEX(SPLIT(B511,""/| |:""),1)) + TIME(INDEX(SPLIT(B511,""/| |:""),4), INDEX(SPLIT(B511,""/| |:""),5), INDEX(SPLIT(B511,""/| |:""),6)) - DATE(1970,1,1)) * 86400)"),1.711642591E9)</f>
        <v>1711642591</v>
      </c>
      <c r="G511" s="3">
        <f>IFERROR(__xludf.DUMMYFUNCTION("INT((DATE(INDEX(SPLIT(C511,""/| |:""),3), INDEX(SPLIT(C511,""/| |:""),2), INDEX(SPLIT(C511,""/| |:""),1)) + TIME(INDEX(SPLIT(C511,""/| |:""),4), INDEX(SPLIT(C511,""/| |:""),5), INDEX(SPLIT(C511,""/| |:""),6)) - DATE(1970,1,1)) * 86400)"),1.715530591E9)</f>
        <v>1715530591</v>
      </c>
    </row>
    <row r="512">
      <c r="A512" s="1" t="s">
        <v>294</v>
      </c>
      <c r="B512" s="5" t="s">
        <v>1551</v>
      </c>
      <c r="C512" s="7">
        <v>45631.95217592592</v>
      </c>
      <c r="D512" s="1" t="s">
        <v>1552</v>
      </c>
      <c r="F512" s="3">
        <f>IFERROR(__xludf.DUMMYFUNCTION("INT((DATE(INDEX(SPLIT(B512,""/| |:""),3), INDEX(SPLIT(B512,""/| |:""),2), INDEX(SPLIT(B512,""/| |:""),1)) + TIME(INDEX(SPLIT(B512,""/| |:""),4), INDEX(SPLIT(B512,""/| |:""),5), INDEX(SPLIT(B512,""/| |:""),6)) - DATE(1970,1,1)) * 86400)"),1.711666268E9)</f>
        <v>1711666268</v>
      </c>
      <c r="G512" s="3">
        <f>IFERROR(__xludf.DUMMYFUNCTION("INT((DATE(INDEX(SPLIT(C512,""/| |:""),3), INDEX(SPLIT(C512,""/| |:""),2), INDEX(SPLIT(C512,""/| |:""),1)) + TIME(INDEX(SPLIT(C512,""/| |:""),4), INDEX(SPLIT(C512,""/| |:""),5), INDEX(SPLIT(C512,""/| |:""),6)) - DATE(1970,1,1)) * 86400)"),1.715554268E9)</f>
        <v>1715554268</v>
      </c>
    </row>
    <row r="513">
      <c r="A513" s="1" t="s">
        <v>293</v>
      </c>
      <c r="B513" s="5" t="s">
        <v>1553</v>
      </c>
      <c r="C513" s="1" t="s">
        <v>1554</v>
      </c>
      <c r="D513" s="1" t="s">
        <v>1555</v>
      </c>
      <c r="F513" s="3">
        <f>IFERROR(__xludf.DUMMYFUNCTION("INT((DATE(INDEX(SPLIT(B513,""/| |:""),3), INDEX(SPLIT(B513,""/| |:""),2), INDEX(SPLIT(B513,""/| |:""),1)) + TIME(INDEX(SPLIT(B513,""/| |:""),4), INDEX(SPLIT(B513,""/| |:""),5), INDEX(SPLIT(B513,""/| |:""),6)) - DATE(1970,1,1)) * 86400)"),1.711701815E9)</f>
        <v>1711701815</v>
      </c>
      <c r="G513" s="3">
        <f>IFERROR(__xludf.DUMMYFUNCTION("INT((DATE(INDEX(SPLIT(C513,""/| |:""),3), INDEX(SPLIT(C513,""/| |:""),2), INDEX(SPLIT(C513,""/| |:""),1)) + TIME(INDEX(SPLIT(C513,""/| |:""),4), INDEX(SPLIT(C513,""/| |:""),5), INDEX(SPLIT(C513,""/| |:""),6)) - DATE(1970,1,1)) * 86400)"),1.715589815E9)</f>
        <v>1715589815</v>
      </c>
    </row>
    <row r="514">
      <c r="A514" s="1" t="s">
        <v>292</v>
      </c>
      <c r="B514" s="5" t="s">
        <v>1556</v>
      </c>
      <c r="C514" s="1" t="s">
        <v>1557</v>
      </c>
      <c r="D514" s="1" t="s">
        <v>1558</v>
      </c>
      <c r="F514" s="3">
        <f>IFERROR(__xludf.DUMMYFUNCTION("INT((DATE(INDEX(SPLIT(B514,""/| |:""),3), INDEX(SPLIT(B514,""/| |:""),2), INDEX(SPLIT(B514,""/| |:""),1)) + TIME(INDEX(SPLIT(B514,""/| |:""),4), INDEX(SPLIT(B514,""/| |:""),5), INDEX(SPLIT(B514,""/| |:""),6)) - DATE(1970,1,1)) * 86400)"),1.711714635E9)</f>
        <v>1711714635</v>
      </c>
      <c r="G514" s="3">
        <f>IFERROR(__xludf.DUMMYFUNCTION("INT((DATE(INDEX(SPLIT(C514,""/| |:""),3), INDEX(SPLIT(C514,""/| |:""),2), INDEX(SPLIT(C514,""/| |:""),1)) + TIME(INDEX(SPLIT(C514,""/| |:""),4), INDEX(SPLIT(C514,""/| |:""),5), INDEX(SPLIT(C514,""/| |:""),6)) - DATE(1970,1,1)) * 86400)"),1.715602635E9)</f>
        <v>1715602635</v>
      </c>
    </row>
    <row r="515">
      <c r="A515" s="1" t="s">
        <v>291</v>
      </c>
      <c r="B515" s="5" t="s">
        <v>1559</v>
      </c>
      <c r="C515" s="1" t="s">
        <v>1560</v>
      </c>
      <c r="D515" s="1" t="s">
        <v>1561</v>
      </c>
      <c r="F515" s="3">
        <f>IFERROR(__xludf.DUMMYFUNCTION("INT((DATE(INDEX(SPLIT(B515,""/| |:""),3), INDEX(SPLIT(B515,""/| |:""),2), INDEX(SPLIT(B515,""/| |:""),1)) + TIME(INDEX(SPLIT(B515,""/| |:""),4), INDEX(SPLIT(B515,""/| |:""),5), INDEX(SPLIT(B515,""/| |:""),6)) - DATE(1970,1,1)) * 86400)"),1.711714911E9)</f>
        <v>1711714911</v>
      </c>
      <c r="G515" s="3">
        <f>IFERROR(__xludf.DUMMYFUNCTION("INT((DATE(INDEX(SPLIT(C515,""/| |:""),3), INDEX(SPLIT(C515,""/| |:""),2), INDEX(SPLIT(C515,""/| |:""),1)) + TIME(INDEX(SPLIT(C515,""/| |:""),4), INDEX(SPLIT(C515,""/| |:""),5), INDEX(SPLIT(C515,""/| |:""),6)) - DATE(1970,1,1)) * 86400)"),1.715602911E9)</f>
        <v>1715602911</v>
      </c>
    </row>
    <row r="516">
      <c r="A516" s="1" t="s">
        <v>290</v>
      </c>
      <c r="B516" s="5" t="s">
        <v>1562</v>
      </c>
      <c r="C516" s="1" t="s">
        <v>1563</v>
      </c>
      <c r="D516" s="1" t="s">
        <v>1564</v>
      </c>
      <c r="F516" s="3">
        <f>IFERROR(__xludf.DUMMYFUNCTION("INT((DATE(INDEX(SPLIT(B516,""/| |:""),3), INDEX(SPLIT(B516,""/| |:""),2), INDEX(SPLIT(B516,""/| |:""),1)) + TIME(INDEX(SPLIT(B516,""/| |:""),4), INDEX(SPLIT(B516,""/| |:""),5), INDEX(SPLIT(B516,""/| |:""),6)) - DATE(1970,1,1)) * 86400)"),1.711722556E9)</f>
        <v>1711722556</v>
      </c>
      <c r="G516" s="3">
        <f>IFERROR(__xludf.DUMMYFUNCTION("INT((DATE(INDEX(SPLIT(C516,""/| |:""),3), INDEX(SPLIT(C516,""/| |:""),2), INDEX(SPLIT(C516,""/| |:""),1)) + TIME(INDEX(SPLIT(C516,""/| |:""),4), INDEX(SPLIT(C516,""/| |:""),5), INDEX(SPLIT(C516,""/| |:""),6)) - DATE(1970,1,1)) * 86400)"),1.715610556E9)</f>
        <v>1715610556</v>
      </c>
    </row>
    <row r="517">
      <c r="A517" s="1" t="s">
        <v>289</v>
      </c>
      <c r="B517" s="5" t="s">
        <v>1565</v>
      </c>
      <c r="C517" s="1" t="s">
        <v>1566</v>
      </c>
      <c r="D517" s="1" t="s">
        <v>1567</v>
      </c>
      <c r="F517" s="3">
        <f>IFERROR(__xludf.DUMMYFUNCTION("INT((DATE(INDEX(SPLIT(B517,""/| |:""),3), INDEX(SPLIT(B517,""/| |:""),2), INDEX(SPLIT(B517,""/| |:""),1)) + TIME(INDEX(SPLIT(B517,""/| |:""),4), INDEX(SPLIT(B517,""/| |:""),5), INDEX(SPLIT(B517,""/| |:""),6)) - DATE(1970,1,1)) * 86400)"),1.711725898E9)</f>
        <v>1711725898</v>
      </c>
      <c r="G517" s="3">
        <f>IFERROR(__xludf.DUMMYFUNCTION("INT((DATE(INDEX(SPLIT(C517,""/| |:""),3), INDEX(SPLIT(C517,""/| |:""),2), INDEX(SPLIT(C517,""/| |:""),1)) + TIME(INDEX(SPLIT(C517,""/| |:""),4), INDEX(SPLIT(C517,""/| |:""),5), INDEX(SPLIT(C517,""/| |:""),6)) - DATE(1970,1,1)) * 86400)"),1.715613898E9)</f>
        <v>1715613898</v>
      </c>
    </row>
    <row r="518">
      <c r="A518" s="1" t="s">
        <v>288</v>
      </c>
      <c r="B518" s="5" t="s">
        <v>1568</v>
      </c>
      <c r="C518" s="1" t="s">
        <v>1569</v>
      </c>
      <c r="D518" s="1" t="s">
        <v>1570</v>
      </c>
      <c r="F518" s="3">
        <f>IFERROR(__xludf.DUMMYFUNCTION("INT((DATE(INDEX(SPLIT(B518,""/| |:""),3), INDEX(SPLIT(B518,""/| |:""),2), INDEX(SPLIT(B518,""/| |:""),1)) + TIME(INDEX(SPLIT(B518,""/| |:""),4), INDEX(SPLIT(B518,""/| |:""),5), INDEX(SPLIT(B518,""/| |:""),6)) - DATE(1970,1,1)) * 86400)"),1.711728239E9)</f>
        <v>1711728239</v>
      </c>
      <c r="G518" s="3">
        <f>IFERROR(__xludf.DUMMYFUNCTION("INT((DATE(INDEX(SPLIT(C518,""/| |:""),3), INDEX(SPLIT(C518,""/| |:""),2), INDEX(SPLIT(C518,""/| |:""),1)) + TIME(INDEX(SPLIT(C518,""/| |:""),4), INDEX(SPLIT(C518,""/| |:""),5), INDEX(SPLIT(C518,""/| |:""),6)) - DATE(1970,1,1)) * 86400)"),1.715616239E9)</f>
        <v>1715616239</v>
      </c>
    </row>
    <row r="519">
      <c r="A519" s="1" t="s">
        <v>287</v>
      </c>
      <c r="B519" s="5" t="s">
        <v>1571</v>
      </c>
      <c r="C519" s="1" t="s">
        <v>1572</v>
      </c>
      <c r="D519" s="1" t="s">
        <v>1573</v>
      </c>
      <c r="F519" s="3">
        <f>IFERROR(__xludf.DUMMYFUNCTION("INT((DATE(INDEX(SPLIT(B519,""/| |:""),3), INDEX(SPLIT(B519,""/| |:""),2), INDEX(SPLIT(B519,""/| |:""),1)) + TIME(INDEX(SPLIT(B519,""/| |:""),4), INDEX(SPLIT(B519,""/| |:""),5), INDEX(SPLIT(B519,""/| |:""),6)) - DATE(1970,1,1)) * 86400)"),1.711731827E9)</f>
        <v>1711731827</v>
      </c>
      <c r="G519" s="3">
        <f>IFERROR(__xludf.DUMMYFUNCTION("INT((DATE(INDEX(SPLIT(C519,""/| |:""),3), INDEX(SPLIT(C519,""/| |:""),2), INDEX(SPLIT(C519,""/| |:""),1)) + TIME(INDEX(SPLIT(C519,""/| |:""),4), INDEX(SPLIT(C519,""/| |:""),5), INDEX(SPLIT(C519,""/| |:""),6)) - DATE(1970,1,1)) * 86400)"),1.715619827E9)</f>
        <v>1715619827</v>
      </c>
    </row>
    <row r="520">
      <c r="A520" s="1" t="s">
        <v>194</v>
      </c>
      <c r="B520" s="5" t="s">
        <v>1574</v>
      </c>
      <c r="C520" s="7">
        <v>45445.53939814815</v>
      </c>
      <c r="D520" s="1" t="s">
        <v>1575</v>
      </c>
      <c r="F520" s="3">
        <f>IFERROR(__xludf.DUMMYFUNCTION("INT((DATE(INDEX(SPLIT(B520,""/| |:""),3), INDEX(SPLIT(B520,""/| |:""),2), INDEX(SPLIT(B520,""/| |:""),1)) + TIME(INDEX(SPLIT(B520,""/| |:""),4), INDEX(SPLIT(B520,""/| |:""),5), INDEX(SPLIT(B520,""/| |:""),6)) - DATE(1970,1,1)) * 86400)"),1.703336204E9)</f>
        <v>1703336204</v>
      </c>
      <c r="G520" s="3">
        <f>IFERROR(__xludf.DUMMYFUNCTION("INT((DATE(INDEX(SPLIT(C520,""/| |:""),3), INDEX(SPLIT(C520,""/| |:""),2), INDEX(SPLIT(C520,""/| |:""),1)) + TIME(INDEX(SPLIT(C520,""/| |:""),4), INDEX(SPLIT(C520,""/| |:""),5), INDEX(SPLIT(C520,""/| |:""),6)) - DATE(1970,1,1)) * 86400)"),1.707224204E9)</f>
        <v>1707224204</v>
      </c>
    </row>
    <row r="521">
      <c r="A521" s="1" t="s">
        <v>286</v>
      </c>
      <c r="B521" s="5" t="s">
        <v>1576</v>
      </c>
      <c r="C521" s="1" t="s">
        <v>1577</v>
      </c>
      <c r="D521" s="1" t="s">
        <v>1578</v>
      </c>
      <c r="F521" s="3">
        <f>IFERROR(__xludf.DUMMYFUNCTION("INT((DATE(INDEX(SPLIT(B521,""/| |:""),3), INDEX(SPLIT(B521,""/| |:""),2), INDEX(SPLIT(B521,""/| |:""),1)) + TIME(INDEX(SPLIT(B521,""/| |:""),4), INDEX(SPLIT(B521,""/| |:""),5), INDEX(SPLIT(B521,""/| |:""),6)) - DATE(1970,1,1)) * 86400)"),1.711795006E9)</f>
        <v>1711795006</v>
      </c>
      <c r="G521" s="3">
        <f>IFERROR(__xludf.DUMMYFUNCTION("INT((DATE(INDEX(SPLIT(C521,""/| |:""),3), INDEX(SPLIT(C521,""/| |:""),2), INDEX(SPLIT(C521,""/| |:""),1)) + TIME(INDEX(SPLIT(C521,""/| |:""),4), INDEX(SPLIT(C521,""/| |:""),5), INDEX(SPLIT(C521,""/| |:""),6)) - DATE(1970,1,1)) * 86400)"),1.715683006E9)</f>
        <v>1715683006</v>
      </c>
    </row>
    <row r="522">
      <c r="A522" s="1" t="s">
        <v>285</v>
      </c>
      <c r="B522" s="5" t="s">
        <v>1579</v>
      </c>
      <c r="C522" s="1" t="s">
        <v>1580</v>
      </c>
      <c r="D522" s="1" t="s">
        <v>1581</v>
      </c>
      <c r="F522" s="3">
        <f>IFERROR(__xludf.DUMMYFUNCTION("INT((DATE(INDEX(SPLIT(B522,""/| |:""),3), INDEX(SPLIT(B522,""/| |:""),2), INDEX(SPLIT(B522,""/| |:""),1)) + TIME(INDEX(SPLIT(B522,""/| |:""),4), INDEX(SPLIT(B522,""/| |:""),5), INDEX(SPLIT(B522,""/| |:""),6)) - DATE(1970,1,1)) * 86400)"),1.711803097E9)</f>
        <v>1711803097</v>
      </c>
      <c r="G522" s="3">
        <f>IFERROR(__xludf.DUMMYFUNCTION("INT((DATE(INDEX(SPLIT(C522,""/| |:""),3), INDEX(SPLIT(C522,""/| |:""),2), INDEX(SPLIT(C522,""/| |:""),1)) + TIME(INDEX(SPLIT(C522,""/| |:""),4), INDEX(SPLIT(C522,""/| |:""),5), INDEX(SPLIT(C522,""/| |:""),6)) - DATE(1970,1,1)) * 86400)"),1.715691097E9)</f>
        <v>1715691097</v>
      </c>
    </row>
    <row r="523">
      <c r="A523" s="1" t="s">
        <v>284</v>
      </c>
      <c r="B523" s="5" t="s">
        <v>1582</v>
      </c>
      <c r="C523" s="1" t="s">
        <v>1583</v>
      </c>
      <c r="D523" s="1" t="s">
        <v>1584</v>
      </c>
      <c r="F523" s="3">
        <f>IFERROR(__xludf.DUMMYFUNCTION("INT((DATE(INDEX(SPLIT(B523,""/| |:""),3), INDEX(SPLIT(B523,""/| |:""),2), INDEX(SPLIT(B523,""/| |:""),1)) + TIME(INDEX(SPLIT(B523,""/| |:""),4), INDEX(SPLIT(B523,""/| |:""),5), INDEX(SPLIT(B523,""/| |:""),6)) - DATE(1970,1,1)) * 86400)"),1.711803307E9)</f>
        <v>1711803307</v>
      </c>
      <c r="G523" s="3">
        <f>IFERROR(__xludf.DUMMYFUNCTION("INT((DATE(INDEX(SPLIT(C523,""/| |:""),3), INDEX(SPLIT(C523,""/| |:""),2), INDEX(SPLIT(C523,""/| |:""),1)) + TIME(INDEX(SPLIT(C523,""/| |:""),4), INDEX(SPLIT(C523,""/| |:""),5), INDEX(SPLIT(C523,""/| |:""),6)) - DATE(1970,1,1)) * 86400)"),1.715691307E9)</f>
        <v>1715691307</v>
      </c>
    </row>
    <row r="524">
      <c r="A524" s="1" t="s">
        <v>283</v>
      </c>
      <c r="B524" s="5" t="s">
        <v>1585</v>
      </c>
      <c r="C524" s="1" t="s">
        <v>1586</v>
      </c>
      <c r="D524" s="1" t="s">
        <v>1587</v>
      </c>
      <c r="F524" s="3">
        <f>IFERROR(__xludf.DUMMYFUNCTION("INT((DATE(INDEX(SPLIT(B524,""/| |:""),3), INDEX(SPLIT(B524,""/| |:""),2), INDEX(SPLIT(B524,""/| |:""),1)) + TIME(INDEX(SPLIT(B524,""/| |:""),4), INDEX(SPLIT(B524,""/| |:""),5), INDEX(SPLIT(B524,""/| |:""),6)) - DATE(1970,1,1)) * 86400)"),1.711805669E9)</f>
        <v>1711805669</v>
      </c>
      <c r="G524" s="3">
        <f>IFERROR(__xludf.DUMMYFUNCTION("INT((DATE(INDEX(SPLIT(C524,""/| |:""),3), INDEX(SPLIT(C524,""/| |:""),2), INDEX(SPLIT(C524,""/| |:""),1)) + TIME(INDEX(SPLIT(C524,""/| |:""),4), INDEX(SPLIT(C524,""/| |:""),5), INDEX(SPLIT(C524,""/| |:""),6)) - DATE(1970,1,1)) * 86400)"),1.715693669E9)</f>
        <v>1715693669</v>
      </c>
    </row>
    <row r="525">
      <c r="A525" s="1" t="s">
        <v>282</v>
      </c>
      <c r="B525" s="5" t="s">
        <v>1588</v>
      </c>
      <c r="C525" s="1" t="s">
        <v>1589</v>
      </c>
      <c r="D525" s="1" t="s">
        <v>1590</v>
      </c>
      <c r="F525" s="3">
        <f>IFERROR(__xludf.DUMMYFUNCTION("INT((DATE(INDEX(SPLIT(B525,""/| |:""),3), INDEX(SPLIT(B525,""/| |:""),2), INDEX(SPLIT(B525,""/| |:""),1)) + TIME(INDEX(SPLIT(B525,""/| |:""),4), INDEX(SPLIT(B525,""/| |:""),5), INDEX(SPLIT(B525,""/| |:""),6)) - DATE(1970,1,1)) * 86400)"),1.711846738E9)</f>
        <v>1711846738</v>
      </c>
      <c r="G525" s="3">
        <f>IFERROR(__xludf.DUMMYFUNCTION("INT((DATE(INDEX(SPLIT(C525,""/| |:""),3), INDEX(SPLIT(C525,""/| |:""),2), INDEX(SPLIT(C525,""/| |:""),1)) + TIME(INDEX(SPLIT(C525,""/| |:""),4), INDEX(SPLIT(C525,""/| |:""),5), INDEX(SPLIT(C525,""/| |:""),6)) - DATE(1970,1,1)) * 86400)"),1.715734738E9)</f>
        <v>1715734738</v>
      </c>
    </row>
    <row r="526">
      <c r="A526" s="1" t="s">
        <v>281</v>
      </c>
      <c r="B526" s="5">
        <v>45295.50349537037</v>
      </c>
      <c r="C526" s="1" t="s">
        <v>1591</v>
      </c>
      <c r="D526" s="1" t="s">
        <v>1592</v>
      </c>
      <c r="F526" s="3">
        <f>IFERROR(__xludf.DUMMYFUNCTION("INT((DATE(INDEX(SPLIT(B526,""/| |:""),3), INDEX(SPLIT(B526,""/| |:""),2), INDEX(SPLIT(B526,""/| |:""),1)) + TIME(INDEX(SPLIT(B526,""/| |:""),4), INDEX(SPLIT(B526,""/| |:""),5), INDEX(SPLIT(B526,""/| |:""),6)) - DATE(1970,1,1)) * 86400)"),1.711973102E9)</f>
        <v>1711973102</v>
      </c>
      <c r="G526" s="3">
        <f>IFERROR(__xludf.DUMMYFUNCTION("INT((DATE(INDEX(SPLIT(C526,""/| |:""),3), INDEX(SPLIT(C526,""/| |:""),2), INDEX(SPLIT(C526,""/| |:""),1)) + TIME(INDEX(SPLIT(C526,""/| |:""),4), INDEX(SPLIT(C526,""/| |:""),5), INDEX(SPLIT(C526,""/| |:""),6)) - DATE(1970,1,1)) * 86400)"),1.715861102E9)</f>
        <v>1715861102</v>
      </c>
    </row>
    <row r="527">
      <c r="A527" s="1" t="s">
        <v>280</v>
      </c>
      <c r="B527" s="5">
        <v>45295.55138888889</v>
      </c>
      <c r="C527" s="1" t="s">
        <v>1593</v>
      </c>
      <c r="D527" s="1" t="s">
        <v>1594</v>
      </c>
      <c r="F527" s="3">
        <f>IFERROR(__xludf.DUMMYFUNCTION("INT((DATE(INDEX(SPLIT(B527,""/| |:""),3), INDEX(SPLIT(B527,""/| |:""),2), INDEX(SPLIT(B527,""/| |:""),1)) + TIME(INDEX(SPLIT(B527,""/| |:""),4), INDEX(SPLIT(B527,""/| |:""),5), INDEX(SPLIT(B527,""/| |:""),6)) - DATE(1970,1,1)) * 86400)"),1.71197724E9)</f>
        <v>1711977240</v>
      </c>
      <c r="G527" s="3">
        <f>IFERROR(__xludf.DUMMYFUNCTION("INT((DATE(INDEX(SPLIT(C527,""/| |:""),3), INDEX(SPLIT(C527,""/| |:""),2), INDEX(SPLIT(C527,""/| |:""),1)) + TIME(INDEX(SPLIT(C527,""/| |:""),4), INDEX(SPLIT(C527,""/| |:""),5), INDEX(SPLIT(C527,""/| |:""),6)) - DATE(1970,1,1)) * 86400)"),1.71586524E9)</f>
        <v>1715865240</v>
      </c>
    </row>
    <row r="528">
      <c r="A528" s="1" t="s">
        <v>279</v>
      </c>
      <c r="B528" s="5">
        <v>45295.59076388889</v>
      </c>
      <c r="C528" s="1" t="s">
        <v>1595</v>
      </c>
      <c r="D528" s="1" t="s">
        <v>1596</v>
      </c>
      <c r="F528" s="3">
        <f>IFERROR(__xludf.DUMMYFUNCTION("INT((DATE(INDEX(SPLIT(B528,""/| |:""),3), INDEX(SPLIT(B528,""/| |:""),2), INDEX(SPLIT(B528,""/| |:""),1)) + TIME(INDEX(SPLIT(B528,""/| |:""),4), INDEX(SPLIT(B528,""/| |:""),5), INDEX(SPLIT(B528,""/| |:""),6)) - DATE(1970,1,1)) * 86400)"),1.711980642E9)</f>
        <v>1711980642</v>
      </c>
      <c r="G528" s="3">
        <f>IFERROR(__xludf.DUMMYFUNCTION("INT((DATE(INDEX(SPLIT(C528,""/| |:""),3), INDEX(SPLIT(C528,""/| |:""),2), INDEX(SPLIT(C528,""/| |:""),1)) + TIME(INDEX(SPLIT(C528,""/| |:""),4), INDEX(SPLIT(C528,""/| |:""),5), INDEX(SPLIT(C528,""/| |:""),6)) - DATE(1970,1,1)) * 86400)"),1.715868642E9)</f>
        <v>1715868642</v>
      </c>
    </row>
    <row r="529">
      <c r="A529" s="1" t="s">
        <v>278</v>
      </c>
      <c r="B529" s="5">
        <v>45295.61010416667</v>
      </c>
      <c r="C529" s="1" t="s">
        <v>1597</v>
      </c>
      <c r="D529" s="1" t="s">
        <v>1598</v>
      </c>
      <c r="F529" s="3">
        <f>IFERROR(__xludf.DUMMYFUNCTION("INT((DATE(INDEX(SPLIT(B529,""/| |:""),3), INDEX(SPLIT(B529,""/| |:""),2), INDEX(SPLIT(B529,""/| |:""),1)) + TIME(INDEX(SPLIT(B529,""/| |:""),4), INDEX(SPLIT(B529,""/| |:""),5), INDEX(SPLIT(B529,""/| |:""),6)) - DATE(1970,1,1)) * 86400)"),1.711982313E9)</f>
        <v>1711982313</v>
      </c>
      <c r="G529" s="3">
        <f>IFERROR(__xludf.DUMMYFUNCTION("INT((DATE(INDEX(SPLIT(C529,""/| |:""),3), INDEX(SPLIT(C529,""/| |:""),2), INDEX(SPLIT(C529,""/| |:""),1)) + TIME(INDEX(SPLIT(C529,""/| |:""),4), INDEX(SPLIT(C529,""/| |:""),5), INDEX(SPLIT(C529,""/| |:""),6)) - DATE(1970,1,1)) * 86400)"),1.715870313E9)</f>
        <v>1715870313</v>
      </c>
    </row>
    <row r="530">
      <c r="A530" s="1" t="s">
        <v>277</v>
      </c>
      <c r="B530" s="5">
        <v>45295.72741898148</v>
      </c>
      <c r="C530" s="1" t="s">
        <v>1599</v>
      </c>
      <c r="D530" s="1" t="s">
        <v>1600</v>
      </c>
      <c r="F530" s="3">
        <f>IFERROR(__xludf.DUMMYFUNCTION("INT((DATE(INDEX(SPLIT(B530,""/| |:""),3), INDEX(SPLIT(B530,""/| |:""),2), INDEX(SPLIT(B530,""/| |:""),1)) + TIME(INDEX(SPLIT(B530,""/| |:""),4), INDEX(SPLIT(B530,""/| |:""),5), INDEX(SPLIT(B530,""/| |:""),6)) - DATE(1970,1,1)) * 86400)"),1.711992449E9)</f>
        <v>1711992449</v>
      </c>
      <c r="G530" s="3">
        <f>IFERROR(__xludf.DUMMYFUNCTION("INT((DATE(INDEX(SPLIT(C530,""/| |:""),3), INDEX(SPLIT(C530,""/| |:""),2), INDEX(SPLIT(C530,""/| |:""),1)) + TIME(INDEX(SPLIT(C530,""/| |:""),4), INDEX(SPLIT(C530,""/| |:""),5), INDEX(SPLIT(C530,""/| |:""),6)) - DATE(1970,1,1)) * 86400)"),1.715880449E9)</f>
        <v>1715880449</v>
      </c>
    </row>
    <row r="531">
      <c r="A531" s="1" t="s">
        <v>276</v>
      </c>
      <c r="B531" s="5">
        <v>45326.28072916667</v>
      </c>
      <c r="C531" s="1" t="s">
        <v>1601</v>
      </c>
      <c r="D531" s="1" t="s">
        <v>1602</v>
      </c>
      <c r="F531" s="3">
        <f>IFERROR(__xludf.DUMMYFUNCTION("INT((DATE(INDEX(SPLIT(B531,""/| |:""),3), INDEX(SPLIT(B531,""/| |:""),2), INDEX(SPLIT(B531,""/| |:""),1)) + TIME(INDEX(SPLIT(B531,""/| |:""),4), INDEX(SPLIT(B531,""/| |:""),5), INDEX(SPLIT(B531,""/| |:""),6)) - DATE(1970,1,1)) * 86400)"),1.712040255E9)</f>
        <v>1712040255</v>
      </c>
      <c r="G531" s="3">
        <f>IFERROR(__xludf.DUMMYFUNCTION("INT((DATE(INDEX(SPLIT(C531,""/| |:""),3), INDEX(SPLIT(C531,""/| |:""),2), INDEX(SPLIT(C531,""/| |:""),1)) + TIME(INDEX(SPLIT(C531,""/| |:""),4), INDEX(SPLIT(C531,""/| |:""),5), INDEX(SPLIT(C531,""/| |:""),6)) - DATE(1970,1,1)) * 86400)"),1.715928255E9)</f>
        <v>1715928255</v>
      </c>
    </row>
    <row r="532">
      <c r="A532" s="1" t="s">
        <v>275</v>
      </c>
      <c r="B532" s="5">
        <v>45326.42491898148</v>
      </c>
      <c r="C532" s="1" t="s">
        <v>1603</v>
      </c>
      <c r="D532" s="1" t="s">
        <v>1604</v>
      </c>
      <c r="F532" s="3">
        <f>IFERROR(__xludf.DUMMYFUNCTION("INT((DATE(INDEX(SPLIT(B532,""/| |:""),3), INDEX(SPLIT(B532,""/| |:""),2), INDEX(SPLIT(B532,""/| |:""),1)) + TIME(INDEX(SPLIT(B532,""/| |:""),4), INDEX(SPLIT(B532,""/| |:""),5), INDEX(SPLIT(B532,""/| |:""),6)) - DATE(1970,1,1)) * 86400)"),1.712052713E9)</f>
        <v>1712052713</v>
      </c>
      <c r="G532" s="3">
        <f>IFERROR(__xludf.DUMMYFUNCTION("INT((DATE(INDEX(SPLIT(C532,""/| |:""),3), INDEX(SPLIT(C532,""/| |:""),2), INDEX(SPLIT(C532,""/| |:""),1)) + TIME(INDEX(SPLIT(C532,""/| |:""),4), INDEX(SPLIT(C532,""/| |:""),5), INDEX(SPLIT(C532,""/| |:""),6)) - DATE(1970,1,1)) * 86400)"),1.715940713E9)</f>
        <v>1715940713</v>
      </c>
    </row>
    <row r="533">
      <c r="A533" s="1" t="s">
        <v>274</v>
      </c>
      <c r="B533" s="5">
        <v>45326.460810185185</v>
      </c>
      <c r="C533" s="1" t="s">
        <v>1605</v>
      </c>
      <c r="D533" s="1" t="s">
        <v>1606</v>
      </c>
      <c r="F533" s="3">
        <f>IFERROR(__xludf.DUMMYFUNCTION("INT((DATE(INDEX(SPLIT(B533,""/| |:""),3), INDEX(SPLIT(B533,""/| |:""),2), INDEX(SPLIT(B533,""/| |:""),1)) + TIME(INDEX(SPLIT(B533,""/| |:""),4), INDEX(SPLIT(B533,""/| |:""),5), INDEX(SPLIT(B533,""/| |:""),6)) - DATE(1970,1,1)) * 86400)"),1.712055814E9)</f>
        <v>1712055814</v>
      </c>
      <c r="G533" s="3">
        <f>IFERROR(__xludf.DUMMYFUNCTION("INT((DATE(INDEX(SPLIT(C533,""/| |:""),3), INDEX(SPLIT(C533,""/| |:""),2), INDEX(SPLIT(C533,""/| |:""),1)) + TIME(INDEX(SPLIT(C533,""/| |:""),4), INDEX(SPLIT(C533,""/| |:""),5), INDEX(SPLIT(C533,""/| |:""),6)) - DATE(1970,1,1)) * 86400)"),1.715943814E9)</f>
        <v>1715943814</v>
      </c>
    </row>
    <row r="534">
      <c r="A534" s="1" t="s">
        <v>273</v>
      </c>
      <c r="B534" s="5">
        <v>45326.66002314815</v>
      </c>
      <c r="C534" s="1" t="s">
        <v>1607</v>
      </c>
      <c r="D534" s="1" t="s">
        <v>1608</v>
      </c>
      <c r="F534" s="3">
        <f>IFERROR(__xludf.DUMMYFUNCTION("INT((DATE(INDEX(SPLIT(B534,""/| |:""),3), INDEX(SPLIT(B534,""/| |:""),2), INDEX(SPLIT(B534,""/| |:""),1)) + TIME(INDEX(SPLIT(B534,""/| |:""),4), INDEX(SPLIT(B534,""/| |:""),5), INDEX(SPLIT(B534,""/| |:""),6)) - DATE(1970,1,1)) * 86400)"),1.712073026E9)</f>
        <v>1712073026</v>
      </c>
      <c r="G534" s="3">
        <f>IFERROR(__xludf.DUMMYFUNCTION("INT((DATE(INDEX(SPLIT(C534,""/| |:""),3), INDEX(SPLIT(C534,""/| |:""),2), INDEX(SPLIT(C534,""/| |:""),1)) + TIME(INDEX(SPLIT(C534,""/| |:""),4), INDEX(SPLIT(C534,""/| |:""),5), INDEX(SPLIT(C534,""/| |:""),6)) - DATE(1970,1,1)) * 86400)"),1.715961026E9)</f>
        <v>1715961026</v>
      </c>
    </row>
    <row r="535">
      <c r="A535" s="1" t="s">
        <v>272</v>
      </c>
      <c r="B535" s="5">
        <v>45326.662303240744</v>
      </c>
      <c r="C535" s="1" t="s">
        <v>1609</v>
      </c>
      <c r="D535" s="1" t="s">
        <v>1610</v>
      </c>
      <c r="F535" s="3">
        <f>IFERROR(__xludf.DUMMYFUNCTION("INT((DATE(INDEX(SPLIT(B535,""/| |:""),3), INDEX(SPLIT(B535,""/| |:""),2), INDEX(SPLIT(B535,""/| |:""),1)) + TIME(INDEX(SPLIT(B535,""/| |:""),4), INDEX(SPLIT(B535,""/| |:""),5), INDEX(SPLIT(B535,""/| |:""),6)) - DATE(1970,1,1)) * 86400)"),1.712073223E9)</f>
        <v>1712073223</v>
      </c>
      <c r="G535" s="3">
        <f>IFERROR(__xludf.DUMMYFUNCTION("INT((DATE(INDEX(SPLIT(C535,""/| |:""),3), INDEX(SPLIT(C535,""/| |:""),2), INDEX(SPLIT(C535,""/| |:""),1)) + TIME(INDEX(SPLIT(C535,""/| |:""),4), INDEX(SPLIT(C535,""/| |:""),5), INDEX(SPLIT(C535,""/| |:""),6)) - DATE(1970,1,1)) * 86400)"),1.715961223E9)</f>
        <v>1715961223</v>
      </c>
    </row>
    <row r="536">
      <c r="A536" s="1" t="s">
        <v>271</v>
      </c>
      <c r="B536" s="5">
        <v>45326.665300925924</v>
      </c>
      <c r="C536" s="1" t="s">
        <v>1611</v>
      </c>
      <c r="D536" s="1" t="s">
        <v>1612</v>
      </c>
      <c r="F536" s="3">
        <f>IFERROR(__xludf.DUMMYFUNCTION("INT((DATE(INDEX(SPLIT(B536,""/| |:""),3), INDEX(SPLIT(B536,""/| |:""),2), INDEX(SPLIT(B536,""/| |:""),1)) + TIME(INDEX(SPLIT(B536,""/| |:""),4), INDEX(SPLIT(B536,""/| |:""),5), INDEX(SPLIT(B536,""/| |:""),6)) - DATE(1970,1,1)) * 86400)"),1.712073482E9)</f>
        <v>1712073482</v>
      </c>
      <c r="G536" s="3">
        <f>IFERROR(__xludf.DUMMYFUNCTION("INT((DATE(INDEX(SPLIT(C536,""/| |:""),3), INDEX(SPLIT(C536,""/| |:""),2), INDEX(SPLIT(C536,""/| |:""),1)) + TIME(INDEX(SPLIT(C536,""/| |:""),4), INDEX(SPLIT(C536,""/| |:""),5), INDEX(SPLIT(C536,""/| |:""),6)) - DATE(1970,1,1)) * 86400)"),1.715961482E9)</f>
        <v>1715961482</v>
      </c>
    </row>
    <row r="537">
      <c r="A537" s="1" t="s">
        <v>270</v>
      </c>
      <c r="B537" s="5">
        <v>45326.70958333334</v>
      </c>
      <c r="C537" s="1" t="s">
        <v>1613</v>
      </c>
      <c r="D537" s="1" t="s">
        <v>1614</v>
      </c>
      <c r="F537" s="3">
        <f>IFERROR(__xludf.DUMMYFUNCTION("INT((DATE(INDEX(SPLIT(B537,""/| |:""),3), INDEX(SPLIT(B537,""/| |:""),2), INDEX(SPLIT(B537,""/| |:""),1)) + TIME(INDEX(SPLIT(B537,""/| |:""),4), INDEX(SPLIT(B537,""/| |:""),5), INDEX(SPLIT(B537,""/| |:""),6)) - DATE(1970,1,1)) * 86400)"),1.712077308E9)</f>
        <v>1712077308</v>
      </c>
      <c r="G537" s="3">
        <f>IFERROR(__xludf.DUMMYFUNCTION("INT((DATE(INDEX(SPLIT(C537,""/| |:""),3), INDEX(SPLIT(C537,""/| |:""),2), INDEX(SPLIT(C537,""/| |:""),1)) + TIME(INDEX(SPLIT(C537,""/| |:""),4), INDEX(SPLIT(C537,""/| |:""),5), INDEX(SPLIT(C537,""/| |:""),6)) - DATE(1970,1,1)) * 86400)"),1.715965308E9)</f>
        <v>1715965308</v>
      </c>
    </row>
    <row r="538">
      <c r="A538" s="1" t="s">
        <v>269</v>
      </c>
      <c r="B538" s="5">
        <v>45326.749930555554</v>
      </c>
      <c r="C538" s="1" t="s">
        <v>1615</v>
      </c>
      <c r="D538" s="1" t="s">
        <v>1616</v>
      </c>
      <c r="F538" s="3">
        <f>IFERROR(__xludf.DUMMYFUNCTION("INT((DATE(INDEX(SPLIT(B538,""/| |:""),3), INDEX(SPLIT(B538,""/| |:""),2), INDEX(SPLIT(B538,""/| |:""),1)) + TIME(INDEX(SPLIT(B538,""/| |:""),4), INDEX(SPLIT(B538,""/| |:""),5), INDEX(SPLIT(B538,""/| |:""),6)) - DATE(1970,1,1)) * 86400)"),1.712080794E9)</f>
        <v>1712080794</v>
      </c>
      <c r="G538" s="3">
        <f>IFERROR(__xludf.DUMMYFUNCTION("INT((DATE(INDEX(SPLIT(C538,""/| |:""),3), INDEX(SPLIT(C538,""/| |:""),2), INDEX(SPLIT(C538,""/| |:""),1)) + TIME(INDEX(SPLIT(C538,""/| |:""),4), INDEX(SPLIT(C538,""/| |:""),5), INDEX(SPLIT(C538,""/| |:""),6)) - DATE(1970,1,1)) * 86400)"),1.715968794E9)</f>
        <v>1715968794</v>
      </c>
    </row>
    <row r="539">
      <c r="A539" s="1" t="s">
        <v>268</v>
      </c>
      <c r="B539" s="5">
        <v>45326.77421296296</v>
      </c>
      <c r="C539" s="1" t="s">
        <v>1617</v>
      </c>
      <c r="D539" s="1" t="s">
        <v>1618</v>
      </c>
      <c r="F539" s="3">
        <f>IFERROR(__xludf.DUMMYFUNCTION("INT((DATE(INDEX(SPLIT(B539,""/| |:""),3), INDEX(SPLIT(B539,""/| |:""),2), INDEX(SPLIT(B539,""/| |:""),1)) + TIME(INDEX(SPLIT(B539,""/| |:""),4), INDEX(SPLIT(B539,""/| |:""),5), INDEX(SPLIT(B539,""/| |:""),6)) - DATE(1970,1,1)) * 86400)"),1.712082892E9)</f>
        <v>1712082892</v>
      </c>
      <c r="G539" s="3">
        <f>IFERROR(__xludf.DUMMYFUNCTION("INT((DATE(INDEX(SPLIT(C539,""/| |:""),3), INDEX(SPLIT(C539,""/| |:""),2), INDEX(SPLIT(C539,""/| |:""),1)) + TIME(INDEX(SPLIT(C539,""/| |:""),4), INDEX(SPLIT(C539,""/| |:""),5), INDEX(SPLIT(C539,""/| |:""),6)) - DATE(1970,1,1)) * 86400)"),1.715970892E9)</f>
        <v>1715970892</v>
      </c>
    </row>
    <row r="540">
      <c r="A540" s="1" t="s">
        <v>267</v>
      </c>
      <c r="B540" s="5">
        <v>45326.79935185185</v>
      </c>
      <c r="C540" s="1" t="s">
        <v>1619</v>
      </c>
      <c r="D540" s="1" t="s">
        <v>1620</v>
      </c>
      <c r="F540" s="3">
        <f>IFERROR(__xludf.DUMMYFUNCTION("INT((DATE(INDEX(SPLIT(B540,""/| |:""),3), INDEX(SPLIT(B540,""/| |:""),2), INDEX(SPLIT(B540,""/| |:""),1)) + TIME(INDEX(SPLIT(B540,""/| |:""),4), INDEX(SPLIT(B540,""/| |:""),5), INDEX(SPLIT(B540,""/| |:""),6)) - DATE(1970,1,1)) * 86400)"),1.712085064E9)</f>
        <v>1712085064</v>
      </c>
      <c r="G540" s="3">
        <f>IFERROR(__xludf.DUMMYFUNCTION("INT((DATE(INDEX(SPLIT(C540,""/| |:""),3), INDEX(SPLIT(C540,""/| |:""),2), INDEX(SPLIT(C540,""/| |:""),1)) + TIME(INDEX(SPLIT(C540,""/| |:""),4), INDEX(SPLIT(C540,""/| |:""),5), INDEX(SPLIT(C540,""/| |:""),6)) - DATE(1970,1,1)) * 86400)"),1.715973064E9)</f>
        <v>1715973064</v>
      </c>
    </row>
    <row r="541">
      <c r="A541" s="1" t="s">
        <v>266</v>
      </c>
      <c r="B541" s="5">
        <v>45326.84701388889</v>
      </c>
      <c r="C541" s="1" t="s">
        <v>1621</v>
      </c>
      <c r="D541" s="1" t="s">
        <v>1622</v>
      </c>
      <c r="F541" s="3">
        <f>IFERROR(__xludf.DUMMYFUNCTION("INT((DATE(INDEX(SPLIT(B541,""/| |:""),3), INDEX(SPLIT(B541,""/| |:""),2), INDEX(SPLIT(B541,""/| |:""),1)) + TIME(INDEX(SPLIT(B541,""/| |:""),4), INDEX(SPLIT(B541,""/| |:""),5), INDEX(SPLIT(B541,""/| |:""),6)) - DATE(1970,1,1)) * 86400)"),1.712089182E9)</f>
        <v>1712089182</v>
      </c>
      <c r="G541" s="3">
        <f>IFERROR(__xludf.DUMMYFUNCTION("INT((DATE(INDEX(SPLIT(C541,""/| |:""),3), INDEX(SPLIT(C541,""/| |:""),2), INDEX(SPLIT(C541,""/| |:""),1)) + TIME(INDEX(SPLIT(C541,""/| |:""),4), INDEX(SPLIT(C541,""/| |:""),5), INDEX(SPLIT(C541,""/| |:""),6)) - DATE(1970,1,1)) * 86400)"),1.715977182E9)</f>
        <v>1715977182</v>
      </c>
    </row>
    <row r="542">
      <c r="A542" s="1" t="s">
        <v>265</v>
      </c>
      <c r="B542" s="5">
        <v>45326.880428240744</v>
      </c>
      <c r="C542" s="1" t="s">
        <v>1623</v>
      </c>
      <c r="D542" s="1" t="s">
        <v>1624</v>
      </c>
      <c r="F542" s="3">
        <f>IFERROR(__xludf.DUMMYFUNCTION("INT((DATE(INDEX(SPLIT(B542,""/| |:""),3), INDEX(SPLIT(B542,""/| |:""),2), INDEX(SPLIT(B542,""/| |:""),1)) + TIME(INDEX(SPLIT(B542,""/| |:""),4), INDEX(SPLIT(B542,""/| |:""),5), INDEX(SPLIT(B542,""/| |:""),6)) - DATE(1970,1,1)) * 86400)"),1.712092069E9)</f>
        <v>1712092069</v>
      </c>
      <c r="G542" s="3">
        <f>IFERROR(__xludf.DUMMYFUNCTION("INT((DATE(INDEX(SPLIT(C542,""/| |:""),3), INDEX(SPLIT(C542,""/| |:""),2), INDEX(SPLIT(C542,""/| |:""),1)) + TIME(INDEX(SPLIT(C542,""/| |:""),4), INDEX(SPLIT(C542,""/| |:""),5), INDEX(SPLIT(C542,""/| |:""),6)) - DATE(1970,1,1)) * 86400)"),1.715980069E9)</f>
        <v>1715980069</v>
      </c>
    </row>
    <row r="543">
      <c r="A543" s="1" t="s">
        <v>264</v>
      </c>
      <c r="B543" s="5">
        <v>45355.500914351855</v>
      </c>
      <c r="C543" s="1" t="s">
        <v>1625</v>
      </c>
      <c r="D543" s="1" t="s">
        <v>1626</v>
      </c>
      <c r="F543" s="3">
        <f>IFERROR(__xludf.DUMMYFUNCTION("INT((DATE(INDEX(SPLIT(B543,""/| |:""),3), INDEX(SPLIT(B543,""/| |:""),2), INDEX(SPLIT(B543,""/| |:""),1)) + TIME(INDEX(SPLIT(B543,""/| |:""),4), INDEX(SPLIT(B543,""/| |:""),5), INDEX(SPLIT(B543,""/| |:""),6)) - DATE(1970,1,1)) * 86400)"),1.712145679E9)</f>
        <v>1712145679</v>
      </c>
      <c r="G543" s="3">
        <f>IFERROR(__xludf.DUMMYFUNCTION("INT((DATE(INDEX(SPLIT(C543,""/| |:""),3), INDEX(SPLIT(C543,""/| |:""),2), INDEX(SPLIT(C543,""/| |:""),1)) + TIME(INDEX(SPLIT(C543,""/| |:""),4), INDEX(SPLIT(C543,""/| |:""),5), INDEX(SPLIT(C543,""/| |:""),6)) - DATE(1970,1,1)) * 86400)"),1.716033679E9)</f>
        <v>1716033679</v>
      </c>
    </row>
    <row r="544">
      <c r="A544" s="1" t="s">
        <v>263</v>
      </c>
      <c r="B544" s="5">
        <v>45355.50449074074</v>
      </c>
      <c r="C544" s="1" t="s">
        <v>1627</v>
      </c>
      <c r="D544" s="1" t="s">
        <v>1628</v>
      </c>
      <c r="F544" s="3">
        <f>IFERROR(__xludf.DUMMYFUNCTION("INT((DATE(INDEX(SPLIT(B544,""/| |:""),3), INDEX(SPLIT(B544,""/| |:""),2), INDEX(SPLIT(B544,""/| |:""),1)) + TIME(INDEX(SPLIT(B544,""/| |:""),4), INDEX(SPLIT(B544,""/| |:""),5), INDEX(SPLIT(B544,""/| |:""),6)) - DATE(1970,1,1)) * 86400)"),1.712145988E9)</f>
        <v>1712145988</v>
      </c>
      <c r="G544" s="3">
        <f>IFERROR(__xludf.DUMMYFUNCTION("INT((DATE(INDEX(SPLIT(C544,""/| |:""),3), INDEX(SPLIT(C544,""/| |:""),2), INDEX(SPLIT(C544,""/| |:""),1)) + TIME(INDEX(SPLIT(C544,""/| |:""),4), INDEX(SPLIT(C544,""/| |:""),5), INDEX(SPLIT(C544,""/| |:""),6)) - DATE(1970,1,1)) * 86400)"),1.716033988E9)</f>
        <v>1716033988</v>
      </c>
    </row>
    <row r="545">
      <c r="A545" s="1" t="s">
        <v>262</v>
      </c>
      <c r="B545" s="5">
        <v>45355.51059027778</v>
      </c>
      <c r="C545" s="1" t="s">
        <v>1629</v>
      </c>
      <c r="D545" s="1" t="s">
        <v>1630</v>
      </c>
      <c r="F545" s="3">
        <f>IFERROR(__xludf.DUMMYFUNCTION("INT((DATE(INDEX(SPLIT(B545,""/| |:""),3), INDEX(SPLIT(B545,""/| |:""),2), INDEX(SPLIT(B545,""/| |:""),1)) + TIME(INDEX(SPLIT(B545,""/| |:""),4), INDEX(SPLIT(B545,""/| |:""),5), INDEX(SPLIT(B545,""/| |:""),6)) - DATE(1970,1,1)) * 86400)"),1.712146515E9)</f>
        <v>1712146515</v>
      </c>
      <c r="G545" s="3">
        <f>IFERROR(__xludf.DUMMYFUNCTION("INT((DATE(INDEX(SPLIT(C545,""/| |:""),3), INDEX(SPLIT(C545,""/| |:""),2), INDEX(SPLIT(C545,""/| |:""),1)) + TIME(INDEX(SPLIT(C545,""/| |:""),4), INDEX(SPLIT(C545,""/| |:""),5), INDEX(SPLIT(C545,""/| |:""),6)) - DATE(1970,1,1)) * 86400)"),1.716034515E9)</f>
        <v>1716034515</v>
      </c>
    </row>
    <row r="546">
      <c r="A546" s="1" t="s">
        <v>261</v>
      </c>
      <c r="B546" s="5">
        <v>45355.521365740744</v>
      </c>
      <c r="C546" s="1" t="s">
        <v>1631</v>
      </c>
      <c r="D546" s="1" t="s">
        <v>1632</v>
      </c>
      <c r="F546" s="3">
        <f>IFERROR(__xludf.DUMMYFUNCTION("INT((DATE(INDEX(SPLIT(B546,""/| |:""),3), INDEX(SPLIT(B546,""/| |:""),2), INDEX(SPLIT(B546,""/| |:""),1)) + TIME(INDEX(SPLIT(B546,""/| |:""),4), INDEX(SPLIT(B546,""/| |:""),5), INDEX(SPLIT(B546,""/| |:""),6)) - DATE(1970,1,1)) * 86400)"),1.712147446E9)</f>
        <v>1712147446</v>
      </c>
      <c r="G546" s="3">
        <f>IFERROR(__xludf.DUMMYFUNCTION("INT((DATE(INDEX(SPLIT(C546,""/| |:""),3), INDEX(SPLIT(C546,""/| |:""),2), INDEX(SPLIT(C546,""/| |:""),1)) + TIME(INDEX(SPLIT(C546,""/| |:""),4), INDEX(SPLIT(C546,""/| |:""),5), INDEX(SPLIT(C546,""/| |:""),6)) - DATE(1970,1,1)) * 86400)"),1.716035446E9)</f>
        <v>1716035446</v>
      </c>
    </row>
    <row r="547">
      <c r="A547" s="1" t="s">
        <v>260</v>
      </c>
      <c r="B547" s="5">
        <v>45355.52347222222</v>
      </c>
      <c r="C547" s="1" t="s">
        <v>1633</v>
      </c>
      <c r="D547" s="1" t="s">
        <v>1634</v>
      </c>
      <c r="F547" s="3">
        <f>IFERROR(__xludf.DUMMYFUNCTION("INT((DATE(INDEX(SPLIT(B547,""/| |:""),3), INDEX(SPLIT(B547,""/| |:""),2), INDEX(SPLIT(B547,""/| |:""),1)) + TIME(INDEX(SPLIT(B547,""/| |:""),4), INDEX(SPLIT(B547,""/| |:""),5), INDEX(SPLIT(B547,""/| |:""),6)) - DATE(1970,1,1)) * 86400)"),1.712147628E9)</f>
        <v>1712147628</v>
      </c>
      <c r="G547" s="3">
        <f>IFERROR(__xludf.DUMMYFUNCTION("INT((DATE(INDEX(SPLIT(C547,""/| |:""),3), INDEX(SPLIT(C547,""/| |:""),2), INDEX(SPLIT(C547,""/| |:""),1)) + TIME(INDEX(SPLIT(C547,""/| |:""),4), INDEX(SPLIT(C547,""/| |:""),5), INDEX(SPLIT(C547,""/| |:""),6)) - DATE(1970,1,1)) * 86400)"),1.716035628E9)</f>
        <v>1716035628</v>
      </c>
    </row>
    <row r="548">
      <c r="A548" s="1" t="s">
        <v>259</v>
      </c>
      <c r="B548" s="5">
        <v>45355.535775462966</v>
      </c>
      <c r="C548" s="1" t="s">
        <v>1635</v>
      </c>
      <c r="D548" s="1" t="s">
        <v>1636</v>
      </c>
      <c r="F548" s="3">
        <f>IFERROR(__xludf.DUMMYFUNCTION("INT((DATE(INDEX(SPLIT(B548,""/| |:""),3), INDEX(SPLIT(B548,""/| |:""),2), INDEX(SPLIT(B548,""/| |:""),1)) + TIME(INDEX(SPLIT(B548,""/| |:""),4), INDEX(SPLIT(B548,""/| |:""),5), INDEX(SPLIT(B548,""/| |:""),6)) - DATE(1970,1,1)) * 86400)"),1.712148691E9)</f>
        <v>1712148691</v>
      </c>
      <c r="G548" s="3">
        <f>IFERROR(__xludf.DUMMYFUNCTION("INT((DATE(INDEX(SPLIT(C548,""/| |:""),3), INDEX(SPLIT(C548,""/| |:""),2), INDEX(SPLIT(C548,""/| |:""),1)) + TIME(INDEX(SPLIT(C548,""/| |:""),4), INDEX(SPLIT(C548,""/| |:""),5), INDEX(SPLIT(C548,""/| |:""),6)) - DATE(1970,1,1)) * 86400)"),1.716036691E9)</f>
        <v>1716036691</v>
      </c>
    </row>
    <row r="549">
      <c r="A549" s="1" t="s">
        <v>258</v>
      </c>
      <c r="B549" s="5">
        <v>45355.53953703704</v>
      </c>
      <c r="C549" s="1" t="s">
        <v>1637</v>
      </c>
      <c r="D549" s="1" t="s">
        <v>1638</v>
      </c>
      <c r="F549" s="3">
        <f>IFERROR(__xludf.DUMMYFUNCTION("INT((DATE(INDEX(SPLIT(B549,""/| |:""),3), INDEX(SPLIT(B549,""/| |:""),2), INDEX(SPLIT(B549,""/| |:""),1)) + TIME(INDEX(SPLIT(B549,""/| |:""),4), INDEX(SPLIT(B549,""/| |:""),5), INDEX(SPLIT(B549,""/| |:""),6)) - DATE(1970,1,1)) * 86400)"),1.712149016E9)</f>
        <v>1712149016</v>
      </c>
      <c r="G549" s="3">
        <f>IFERROR(__xludf.DUMMYFUNCTION("INT((DATE(INDEX(SPLIT(C549,""/| |:""),3), INDEX(SPLIT(C549,""/| |:""),2), INDEX(SPLIT(C549,""/| |:""),1)) + TIME(INDEX(SPLIT(C549,""/| |:""),4), INDEX(SPLIT(C549,""/| |:""),5), INDEX(SPLIT(C549,""/| |:""),6)) - DATE(1970,1,1)) * 86400)"),1.716037016E9)</f>
        <v>1716037016</v>
      </c>
    </row>
    <row r="550">
      <c r="A550" s="1" t="s">
        <v>257</v>
      </c>
      <c r="B550" s="5">
        <v>45355.55640046296</v>
      </c>
      <c r="C550" s="1" t="s">
        <v>1639</v>
      </c>
      <c r="D550" s="1" t="s">
        <v>1640</v>
      </c>
      <c r="F550" s="3">
        <f>IFERROR(__xludf.DUMMYFUNCTION("INT((DATE(INDEX(SPLIT(B550,""/| |:""),3), INDEX(SPLIT(B550,""/| |:""),2), INDEX(SPLIT(B550,""/| |:""),1)) + TIME(INDEX(SPLIT(B550,""/| |:""),4), INDEX(SPLIT(B550,""/| |:""),5), INDEX(SPLIT(B550,""/| |:""),6)) - DATE(1970,1,1)) * 86400)"),1.712150473E9)</f>
        <v>1712150473</v>
      </c>
      <c r="G550" s="3">
        <f>IFERROR(__xludf.DUMMYFUNCTION("INT((DATE(INDEX(SPLIT(C550,""/| |:""),3), INDEX(SPLIT(C550,""/| |:""),2), INDEX(SPLIT(C550,""/| |:""),1)) + TIME(INDEX(SPLIT(C550,""/| |:""),4), INDEX(SPLIT(C550,""/| |:""),5), INDEX(SPLIT(C550,""/| |:""),6)) - DATE(1970,1,1)) * 86400)"),1.716038473E9)</f>
        <v>1716038473</v>
      </c>
    </row>
    <row r="551">
      <c r="A551" s="1" t="s">
        <v>256</v>
      </c>
      <c r="B551" s="5">
        <v>45355.56644675926</v>
      </c>
      <c r="C551" s="1" t="s">
        <v>1641</v>
      </c>
      <c r="D551" s="1" t="s">
        <v>1642</v>
      </c>
      <c r="F551" s="3">
        <f>IFERROR(__xludf.DUMMYFUNCTION("INT((DATE(INDEX(SPLIT(B551,""/| |:""),3), INDEX(SPLIT(B551,""/| |:""),2), INDEX(SPLIT(B551,""/| |:""),1)) + TIME(INDEX(SPLIT(B551,""/| |:""),4), INDEX(SPLIT(B551,""/| |:""),5), INDEX(SPLIT(B551,""/| |:""),6)) - DATE(1970,1,1)) * 86400)"),1.712151341E9)</f>
        <v>1712151341</v>
      </c>
      <c r="G551" s="3">
        <f>IFERROR(__xludf.DUMMYFUNCTION("INT((DATE(INDEX(SPLIT(C551,""/| |:""),3), INDEX(SPLIT(C551,""/| |:""),2), INDEX(SPLIT(C551,""/| |:""),1)) + TIME(INDEX(SPLIT(C551,""/| |:""),4), INDEX(SPLIT(C551,""/| |:""),5), INDEX(SPLIT(C551,""/| |:""),6)) - DATE(1970,1,1)) * 86400)"),1.716039341E9)</f>
        <v>1716039341</v>
      </c>
    </row>
    <row r="552">
      <c r="A552" s="1" t="s">
        <v>255</v>
      </c>
      <c r="B552" s="5">
        <v>45355.5696875</v>
      </c>
      <c r="C552" s="1" t="s">
        <v>1643</v>
      </c>
      <c r="D552" s="1" t="s">
        <v>1644</v>
      </c>
      <c r="F552" s="3">
        <f>IFERROR(__xludf.DUMMYFUNCTION("INT((DATE(INDEX(SPLIT(B552,""/| |:""),3), INDEX(SPLIT(B552,""/| |:""),2), INDEX(SPLIT(B552,""/| |:""),1)) + TIME(INDEX(SPLIT(B552,""/| |:""),4), INDEX(SPLIT(B552,""/| |:""),5), INDEX(SPLIT(B552,""/| |:""),6)) - DATE(1970,1,1)) * 86400)"),1.712151621E9)</f>
        <v>1712151621</v>
      </c>
      <c r="G552" s="3">
        <f>IFERROR(__xludf.DUMMYFUNCTION("INT((DATE(INDEX(SPLIT(C552,""/| |:""),3), INDEX(SPLIT(C552,""/| |:""),2), INDEX(SPLIT(C552,""/| |:""),1)) + TIME(INDEX(SPLIT(C552,""/| |:""),4), INDEX(SPLIT(C552,""/| |:""),5), INDEX(SPLIT(C552,""/| |:""),6)) - DATE(1970,1,1)) * 86400)"),1.716039621E9)</f>
        <v>1716039621</v>
      </c>
    </row>
    <row r="553">
      <c r="A553" s="1" t="s">
        <v>254</v>
      </c>
      <c r="B553" s="5">
        <v>45355.57362268519</v>
      </c>
      <c r="C553" s="1" t="s">
        <v>1645</v>
      </c>
      <c r="D553" s="1" t="s">
        <v>1646</v>
      </c>
      <c r="F553" s="3">
        <f>IFERROR(__xludf.DUMMYFUNCTION("INT((DATE(INDEX(SPLIT(B553,""/| |:""),3), INDEX(SPLIT(B553,""/| |:""),2), INDEX(SPLIT(B553,""/| |:""),1)) + TIME(INDEX(SPLIT(B553,""/| |:""),4), INDEX(SPLIT(B553,""/| |:""),5), INDEX(SPLIT(B553,""/| |:""),6)) - DATE(1970,1,1)) * 86400)"),1.712151961E9)</f>
        <v>1712151961</v>
      </c>
      <c r="G553" s="3">
        <f>IFERROR(__xludf.DUMMYFUNCTION("INT((DATE(INDEX(SPLIT(C553,""/| |:""),3), INDEX(SPLIT(C553,""/| |:""),2), INDEX(SPLIT(C553,""/| |:""),1)) + TIME(INDEX(SPLIT(C553,""/| |:""),4), INDEX(SPLIT(C553,""/| |:""),5), INDEX(SPLIT(C553,""/| |:""),6)) - DATE(1970,1,1)) * 86400)"),1.716039961E9)</f>
        <v>1716039961</v>
      </c>
    </row>
    <row r="554">
      <c r="A554" s="1" t="s">
        <v>253</v>
      </c>
      <c r="B554" s="5">
        <v>45355.5778125</v>
      </c>
      <c r="C554" s="1" t="s">
        <v>1647</v>
      </c>
      <c r="D554" s="1" t="s">
        <v>1648</v>
      </c>
      <c r="F554" s="3">
        <f>IFERROR(__xludf.DUMMYFUNCTION("INT((DATE(INDEX(SPLIT(B554,""/| |:""),3), INDEX(SPLIT(B554,""/| |:""),2), INDEX(SPLIT(B554,""/| |:""),1)) + TIME(INDEX(SPLIT(B554,""/| |:""),4), INDEX(SPLIT(B554,""/| |:""),5), INDEX(SPLIT(B554,""/| |:""),6)) - DATE(1970,1,1)) * 86400)"),1.712152323E9)</f>
        <v>1712152323</v>
      </c>
      <c r="G554" s="3">
        <f>IFERROR(__xludf.DUMMYFUNCTION("INT((DATE(INDEX(SPLIT(C554,""/| |:""),3), INDEX(SPLIT(C554,""/| |:""),2), INDEX(SPLIT(C554,""/| |:""),1)) + TIME(INDEX(SPLIT(C554,""/| |:""),4), INDEX(SPLIT(C554,""/| |:""),5), INDEX(SPLIT(C554,""/| |:""),6)) - DATE(1970,1,1)) * 86400)"),1.716040323E9)</f>
        <v>1716040323</v>
      </c>
    </row>
    <row r="555">
      <c r="A555" s="1" t="s">
        <v>252</v>
      </c>
      <c r="B555" s="5">
        <v>45355.60821759259</v>
      </c>
      <c r="C555" s="1" t="s">
        <v>1649</v>
      </c>
      <c r="D555" s="1" t="s">
        <v>1650</v>
      </c>
      <c r="F555" s="3">
        <f>IFERROR(__xludf.DUMMYFUNCTION("INT((DATE(INDEX(SPLIT(B555,""/| |:""),3), INDEX(SPLIT(B555,""/| |:""),2), INDEX(SPLIT(B555,""/| |:""),1)) + TIME(INDEX(SPLIT(B555,""/| |:""),4), INDEX(SPLIT(B555,""/| |:""),5), INDEX(SPLIT(B555,""/| |:""),6)) - DATE(1970,1,1)) * 86400)"),1.71215495E9)</f>
        <v>1712154950</v>
      </c>
      <c r="G555" s="3">
        <f>IFERROR(__xludf.DUMMYFUNCTION("INT((DATE(INDEX(SPLIT(C555,""/| |:""),3), INDEX(SPLIT(C555,""/| |:""),2), INDEX(SPLIT(C555,""/| |:""),1)) + TIME(INDEX(SPLIT(C555,""/| |:""),4), INDEX(SPLIT(C555,""/| |:""),5), INDEX(SPLIT(C555,""/| |:""),6)) - DATE(1970,1,1)) * 86400)"),1.71604295E9)</f>
        <v>1716042950</v>
      </c>
    </row>
    <row r="556">
      <c r="A556" s="1" t="s">
        <v>251</v>
      </c>
      <c r="B556" s="5">
        <v>45355.61331018519</v>
      </c>
      <c r="C556" s="1" t="s">
        <v>1651</v>
      </c>
      <c r="D556" s="1" t="s">
        <v>1652</v>
      </c>
      <c r="F556" s="3">
        <f>IFERROR(__xludf.DUMMYFUNCTION("INT((DATE(INDEX(SPLIT(B556,""/| |:""),3), INDEX(SPLIT(B556,""/| |:""),2), INDEX(SPLIT(B556,""/| |:""),1)) + TIME(INDEX(SPLIT(B556,""/| |:""),4), INDEX(SPLIT(B556,""/| |:""),5), INDEX(SPLIT(B556,""/| |:""),6)) - DATE(1970,1,1)) * 86400)"),1.71215539E9)</f>
        <v>1712155390</v>
      </c>
      <c r="G556" s="3">
        <f>IFERROR(__xludf.DUMMYFUNCTION("INT((DATE(INDEX(SPLIT(C556,""/| |:""),3), INDEX(SPLIT(C556,""/| |:""),2), INDEX(SPLIT(C556,""/| |:""),1)) + TIME(INDEX(SPLIT(C556,""/| |:""),4), INDEX(SPLIT(C556,""/| |:""),5), INDEX(SPLIT(C556,""/| |:""),6)) - DATE(1970,1,1)) * 86400)"),1.71604339E9)</f>
        <v>1716043390</v>
      </c>
    </row>
    <row r="557">
      <c r="A557" s="1" t="s">
        <v>250</v>
      </c>
      <c r="B557" s="5">
        <v>45355.68318287037</v>
      </c>
      <c r="C557" s="1" t="s">
        <v>1653</v>
      </c>
      <c r="D557" s="1" t="s">
        <v>1654</v>
      </c>
      <c r="F557" s="3">
        <f>IFERROR(__xludf.DUMMYFUNCTION("INT((DATE(INDEX(SPLIT(B557,""/| |:""),3), INDEX(SPLIT(B557,""/| |:""),2), INDEX(SPLIT(B557,""/| |:""),1)) + TIME(INDEX(SPLIT(B557,""/| |:""),4), INDEX(SPLIT(B557,""/| |:""),5), INDEX(SPLIT(B557,""/| |:""),6)) - DATE(1970,1,1)) * 86400)"),1.712161427E9)</f>
        <v>1712161427</v>
      </c>
      <c r="G557" s="3">
        <f>IFERROR(__xludf.DUMMYFUNCTION("INT((DATE(INDEX(SPLIT(C557,""/| |:""),3), INDEX(SPLIT(C557,""/| |:""),2), INDEX(SPLIT(C557,""/| |:""),1)) + TIME(INDEX(SPLIT(C557,""/| |:""),4), INDEX(SPLIT(C557,""/| |:""),5), INDEX(SPLIT(C557,""/| |:""),6)) - DATE(1970,1,1)) * 86400)"),1.716049427E9)</f>
        <v>1716049427</v>
      </c>
    </row>
    <row r="558">
      <c r="A558" s="1" t="s">
        <v>113</v>
      </c>
      <c r="B558" s="5">
        <v>45355.70407407408</v>
      </c>
      <c r="C558" s="1" t="s">
        <v>1655</v>
      </c>
      <c r="D558" s="1" t="s">
        <v>1656</v>
      </c>
      <c r="F558" s="3">
        <f>IFERROR(__xludf.DUMMYFUNCTION("INT((DATE(INDEX(SPLIT(B558,""/| |:""),3), INDEX(SPLIT(B558,""/| |:""),2), INDEX(SPLIT(B558,""/| |:""),1)) + TIME(INDEX(SPLIT(B558,""/| |:""),4), INDEX(SPLIT(B558,""/| |:""),5), INDEX(SPLIT(B558,""/| |:""),6)) - DATE(1970,1,1)) * 86400)"),1.712163232E9)</f>
        <v>1712163232</v>
      </c>
      <c r="G558" s="3">
        <f>IFERROR(__xludf.DUMMYFUNCTION("INT((DATE(INDEX(SPLIT(C558,""/| |:""),3), INDEX(SPLIT(C558,""/| |:""),2), INDEX(SPLIT(C558,""/| |:""),1)) + TIME(INDEX(SPLIT(C558,""/| |:""),4), INDEX(SPLIT(C558,""/| |:""),5), INDEX(SPLIT(C558,""/| |:""),6)) - DATE(1970,1,1)) * 86400)"),1.716051232E9)</f>
        <v>1716051232</v>
      </c>
    </row>
    <row r="559">
      <c r="A559" s="1" t="s">
        <v>249</v>
      </c>
      <c r="B559" s="5">
        <v>45355.92005787037</v>
      </c>
      <c r="C559" s="1" t="s">
        <v>1657</v>
      </c>
      <c r="D559" s="1" t="s">
        <v>1658</v>
      </c>
      <c r="F559" s="3">
        <f>IFERROR(__xludf.DUMMYFUNCTION("INT((DATE(INDEX(SPLIT(B559,""/| |:""),3), INDEX(SPLIT(B559,""/| |:""),2), INDEX(SPLIT(B559,""/| |:""),1)) + TIME(INDEX(SPLIT(B559,""/| |:""),4), INDEX(SPLIT(B559,""/| |:""),5), INDEX(SPLIT(B559,""/| |:""),6)) - DATE(1970,1,1)) * 86400)"),1.712181893E9)</f>
        <v>1712181893</v>
      </c>
      <c r="G559" s="3">
        <f>IFERROR(__xludf.DUMMYFUNCTION("INT((DATE(INDEX(SPLIT(C559,""/| |:""),3), INDEX(SPLIT(C559,""/| |:""),2), INDEX(SPLIT(C559,""/| |:""),1)) + TIME(INDEX(SPLIT(C559,""/| |:""),4), INDEX(SPLIT(C559,""/| |:""),5), INDEX(SPLIT(C559,""/| |:""),6)) - DATE(1970,1,1)) * 86400)"),1.716069893E9)</f>
        <v>1716069893</v>
      </c>
    </row>
    <row r="560">
      <c r="A560" s="1" t="s">
        <v>248</v>
      </c>
      <c r="B560" s="5">
        <v>45355.94923611111</v>
      </c>
      <c r="C560" s="1" t="s">
        <v>1659</v>
      </c>
      <c r="D560" s="1" t="s">
        <v>1660</v>
      </c>
      <c r="F560" s="3">
        <f>IFERROR(__xludf.DUMMYFUNCTION("INT((DATE(INDEX(SPLIT(B560,""/| |:""),3), INDEX(SPLIT(B560,""/| |:""),2), INDEX(SPLIT(B560,""/| |:""),1)) + TIME(INDEX(SPLIT(B560,""/| |:""),4), INDEX(SPLIT(B560,""/| |:""),5), INDEX(SPLIT(B560,""/| |:""),6)) - DATE(1970,1,1)) * 86400)"),1.712184414E9)</f>
        <v>1712184414</v>
      </c>
      <c r="G560" s="3">
        <f>IFERROR(__xludf.DUMMYFUNCTION("INT((DATE(INDEX(SPLIT(C560,""/| |:""),3), INDEX(SPLIT(C560,""/| |:""),2), INDEX(SPLIT(C560,""/| |:""),1)) + TIME(INDEX(SPLIT(C560,""/| |:""),4), INDEX(SPLIT(C560,""/| |:""),5), INDEX(SPLIT(C560,""/| |:""),6)) - DATE(1970,1,1)) * 86400)"),1.716072414E9)</f>
        <v>1716072414</v>
      </c>
    </row>
    <row r="561">
      <c r="A561" s="1" t="s">
        <v>247</v>
      </c>
      <c r="B561" s="5">
        <v>45386.28460648148</v>
      </c>
      <c r="C561" s="1" t="s">
        <v>1661</v>
      </c>
      <c r="D561" s="1" t="s">
        <v>1662</v>
      </c>
      <c r="F561" s="3">
        <f>IFERROR(__xludf.DUMMYFUNCTION("INT((DATE(INDEX(SPLIT(B561,""/| |:""),3), INDEX(SPLIT(B561,""/| |:""),2), INDEX(SPLIT(B561,""/| |:""),1)) + TIME(INDEX(SPLIT(B561,""/| |:""),4), INDEX(SPLIT(B561,""/| |:""),5), INDEX(SPLIT(B561,""/| |:""),6)) - DATE(1970,1,1)) * 86400)"),1.71221339E9)</f>
        <v>1712213390</v>
      </c>
      <c r="G561" s="3">
        <f>IFERROR(__xludf.DUMMYFUNCTION("INT((DATE(INDEX(SPLIT(C561,""/| |:""),3), INDEX(SPLIT(C561,""/| |:""),2), INDEX(SPLIT(C561,""/| |:""),1)) + TIME(INDEX(SPLIT(C561,""/| |:""),4), INDEX(SPLIT(C561,""/| |:""),5), INDEX(SPLIT(C561,""/| |:""),6)) - DATE(1970,1,1)) * 86400)"),1.71610139E9)</f>
        <v>1716101390</v>
      </c>
    </row>
    <row r="562">
      <c r="A562" s="1" t="s">
        <v>246</v>
      </c>
      <c r="B562" s="5">
        <v>45386.36138888889</v>
      </c>
      <c r="C562" s="1" t="s">
        <v>1663</v>
      </c>
      <c r="D562" s="1" t="s">
        <v>1664</v>
      </c>
      <c r="F562" s="3">
        <f>IFERROR(__xludf.DUMMYFUNCTION("INT((DATE(INDEX(SPLIT(B562,""/| |:""),3), INDEX(SPLIT(B562,""/| |:""),2), INDEX(SPLIT(B562,""/| |:""),1)) + TIME(INDEX(SPLIT(B562,""/| |:""),4), INDEX(SPLIT(B562,""/| |:""),5), INDEX(SPLIT(B562,""/| |:""),6)) - DATE(1970,1,1)) * 86400)"),1.712220024E9)</f>
        <v>1712220024</v>
      </c>
      <c r="G562" s="3">
        <f>IFERROR(__xludf.DUMMYFUNCTION("INT((DATE(INDEX(SPLIT(C562,""/| |:""),3), INDEX(SPLIT(C562,""/| |:""),2), INDEX(SPLIT(C562,""/| |:""),1)) + TIME(INDEX(SPLIT(C562,""/| |:""),4), INDEX(SPLIT(C562,""/| |:""),5), INDEX(SPLIT(C562,""/| |:""),6)) - DATE(1970,1,1)) * 86400)"),1.716108024E9)</f>
        <v>1716108024</v>
      </c>
    </row>
    <row r="563">
      <c r="A563" s="1" t="s">
        <v>176</v>
      </c>
      <c r="B563" s="5">
        <v>45386.41138888889</v>
      </c>
      <c r="C563" s="1" t="s">
        <v>1665</v>
      </c>
      <c r="D563" s="1" t="s">
        <v>1666</v>
      </c>
      <c r="F563" s="3">
        <f>IFERROR(__xludf.DUMMYFUNCTION("INT((DATE(INDEX(SPLIT(B563,""/| |:""),3), INDEX(SPLIT(B563,""/| |:""),2), INDEX(SPLIT(B563,""/| |:""),1)) + TIME(INDEX(SPLIT(B563,""/| |:""),4), INDEX(SPLIT(B563,""/| |:""),5), INDEX(SPLIT(B563,""/| |:""),6)) - DATE(1970,1,1)) * 86400)"),1.712224344E9)</f>
        <v>1712224344</v>
      </c>
      <c r="G563" s="3">
        <f>IFERROR(__xludf.DUMMYFUNCTION("INT((DATE(INDEX(SPLIT(C563,""/| |:""),3), INDEX(SPLIT(C563,""/| |:""),2), INDEX(SPLIT(C563,""/| |:""),1)) + TIME(INDEX(SPLIT(C563,""/| |:""),4), INDEX(SPLIT(C563,""/| |:""),5), INDEX(SPLIT(C563,""/| |:""),6)) - DATE(1970,1,1)) * 86400)"),1.716112344E9)</f>
        <v>1716112344</v>
      </c>
    </row>
    <row r="564">
      <c r="A564" s="1" t="s">
        <v>245</v>
      </c>
      <c r="B564" s="5">
        <v>45386.46328703704</v>
      </c>
      <c r="C564" s="1" t="s">
        <v>1667</v>
      </c>
      <c r="D564" s="1" t="s">
        <v>1668</v>
      </c>
      <c r="F564" s="3">
        <f>IFERROR(__xludf.DUMMYFUNCTION("INT((DATE(INDEX(SPLIT(B564,""/| |:""),3), INDEX(SPLIT(B564,""/| |:""),2), INDEX(SPLIT(B564,""/| |:""),1)) + TIME(INDEX(SPLIT(B564,""/| |:""),4), INDEX(SPLIT(B564,""/| |:""),5), INDEX(SPLIT(B564,""/| |:""),6)) - DATE(1970,1,1)) * 86400)"),1.712228828E9)</f>
        <v>1712228828</v>
      </c>
      <c r="G564" s="3">
        <f>IFERROR(__xludf.DUMMYFUNCTION("INT((DATE(INDEX(SPLIT(C564,""/| |:""),3), INDEX(SPLIT(C564,""/| |:""),2), INDEX(SPLIT(C564,""/| |:""),1)) + TIME(INDEX(SPLIT(C564,""/| |:""),4), INDEX(SPLIT(C564,""/| |:""),5), INDEX(SPLIT(C564,""/| |:""),6)) - DATE(1970,1,1)) * 86400)"),1.716116828E9)</f>
        <v>1716116828</v>
      </c>
    </row>
    <row r="565">
      <c r="A565" s="1" t="s">
        <v>244</v>
      </c>
      <c r="B565" s="5">
        <v>45386.521782407406</v>
      </c>
      <c r="C565" s="1" t="s">
        <v>1669</v>
      </c>
      <c r="D565" s="1" t="s">
        <v>1670</v>
      </c>
      <c r="F565" s="3">
        <f>IFERROR(__xludf.DUMMYFUNCTION("INT((DATE(INDEX(SPLIT(B565,""/| |:""),3), INDEX(SPLIT(B565,""/| |:""),2), INDEX(SPLIT(B565,""/| |:""),1)) + TIME(INDEX(SPLIT(B565,""/| |:""),4), INDEX(SPLIT(B565,""/| |:""),5), INDEX(SPLIT(B565,""/| |:""),6)) - DATE(1970,1,1)) * 86400)"),1.712233882E9)</f>
        <v>1712233882</v>
      </c>
      <c r="G565" s="3">
        <f>IFERROR(__xludf.DUMMYFUNCTION("INT((DATE(INDEX(SPLIT(C565,""/| |:""),3), INDEX(SPLIT(C565,""/| |:""),2), INDEX(SPLIT(C565,""/| |:""),1)) + TIME(INDEX(SPLIT(C565,""/| |:""),4), INDEX(SPLIT(C565,""/| |:""),5), INDEX(SPLIT(C565,""/| |:""),6)) - DATE(1970,1,1)) * 86400)"),1.716121882E9)</f>
        <v>1716121882</v>
      </c>
    </row>
    <row r="566">
      <c r="A566" s="1" t="s">
        <v>243</v>
      </c>
      <c r="B566" s="5">
        <v>45386.64380787037</v>
      </c>
      <c r="C566" s="1" t="s">
        <v>1671</v>
      </c>
      <c r="D566" s="1" t="s">
        <v>1672</v>
      </c>
      <c r="F566" s="3">
        <f>IFERROR(__xludf.DUMMYFUNCTION("INT((DATE(INDEX(SPLIT(B566,""/| |:""),3), INDEX(SPLIT(B566,""/| |:""),2), INDEX(SPLIT(B566,""/| |:""),1)) + TIME(INDEX(SPLIT(B566,""/| |:""),4), INDEX(SPLIT(B566,""/| |:""),5), INDEX(SPLIT(B566,""/| |:""),6)) - DATE(1970,1,1)) * 86400)"),1.712244425E9)</f>
        <v>1712244425</v>
      </c>
      <c r="G566" s="3">
        <f>IFERROR(__xludf.DUMMYFUNCTION("INT((DATE(INDEX(SPLIT(C566,""/| |:""),3), INDEX(SPLIT(C566,""/| |:""),2), INDEX(SPLIT(C566,""/| |:""),1)) + TIME(INDEX(SPLIT(C566,""/| |:""),4), INDEX(SPLIT(C566,""/| |:""),5), INDEX(SPLIT(C566,""/| |:""),6)) - DATE(1970,1,1)) * 86400)"),1.716132425E9)</f>
        <v>1716132425</v>
      </c>
    </row>
    <row r="567">
      <c r="A567" s="1" t="s">
        <v>420</v>
      </c>
      <c r="B567" s="5" t="s">
        <v>1673</v>
      </c>
      <c r="C567" s="1" t="s">
        <v>1674</v>
      </c>
      <c r="D567" s="1" t="s">
        <v>1675</v>
      </c>
      <c r="F567" s="3">
        <f>IFERROR(__xludf.DUMMYFUNCTION("INT((DATE(INDEX(SPLIT(B567,""/| |:""),3), INDEX(SPLIT(B567,""/| |:""),2), INDEX(SPLIT(B567,""/| |:""),1)) + TIME(INDEX(SPLIT(B567,""/| |:""),4), INDEX(SPLIT(B567,""/| |:""),5), INDEX(SPLIT(B567,""/| |:""),6)) - DATE(1970,1,1)) * 86400)"),1.700136415E9)</f>
        <v>1700136415</v>
      </c>
      <c r="G567" s="3">
        <f>IFERROR(__xludf.DUMMYFUNCTION("INT((DATE(INDEX(SPLIT(C567,""/| |:""),3), INDEX(SPLIT(C567,""/| |:""),2), INDEX(SPLIT(C567,""/| |:""),1)) + TIME(INDEX(SPLIT(C567,""/| |:""),4), INDEX(SPLIT(C567,""/| |:""),5), INDEX(SPLIT(C567,""/| |:""),6)) - DATE(1970,1,1)) * 86400)"),1.704024415E9)</f>
        <v>1704024415</v>
      </c>
    </row>
    <row r="568">
      <c r="A568" s="1" t="s">
        <v>210</v>
      </c>
      <c r="B568" s="5">
        <v>44968.560520833336</v>
      </c>
      <c r="C568" s="1" t="s">
        <v>1676</v>
      </c>
      <c r="D568" s="1" t="s">
        <v>1675</v>
      </c>
      <c r="F568" s="3">
        <f>IFERROR(__xludf.DUMMYFUNCTION("INT((DATE(INDEX(SPLIT(B568,""/| |:""),3), INDEX(SPLIT(B568,""/| |:""),2), INDEX(SPLIT(B568,""/| |:""),1)) + TIME(INDEX(SPLIT(B568,""/| |:""),4), INDEX(SPLIT(B568,""/| |:""),5), INDEX(SPLIT(B568,""/| |:""),6)) - DATE(1970,1,1)) * 86400)"),1.698931629E9)</f>
        <v>1698931629</v>
      </c>
      <c r="G568" s="3">
        <f>IFERROR(__xludf.DUMMYFUNCTION("INT((DATE(INDEX(SPLIT(C568,""/| |:""),3), INDEX(SPLIT(C568,""/| |:""),2), INDEX(SPLIT(C568,""/| |:""),1)) + TIME(INDEX(SPLIT(C568,""/| |:""),4), INDEX(SPLIT(C568,""/| |:""),5), INDEX(SPLIT(C568,""/| |:""),6)) - DATE(1970,1,1)) * 86400)"),1.702819629E9)</f>
        <v>1702819629</v>
      </c>
    </row>
    <row r="569">
      <c r="A569" s="1" t="s">
        <v>114</v>
      </c>
      <c r="B569" s="5">
        <v>45386.86886574074</v>
      </c>
      <c r="C569" s="1" t="s">
        <v>1677</v>
      </c>
      <c r="D569" s="1" t="s">
        <v>1678</v>
      </c>
      <c r="F569" s="3">
        <f>IFERROR(__xludf.DUMMYFUNCTION("INT((DATE(INDEX(SPLIT(B569,""/| |:""),3), INDEX(SPLIT(B569,""/| |:""),2), INDEX(SPLIT(B569,""/| |:""),1)) + TIME(INDEX(SPLIT(B569,""/| |:""),4), INDEX(SPLIT(B569,""/| |:""),5), INDEX(SPLIT(B569,""/| |:""),6)) - DATE(1970,1,1)) * 86400)"),1.71226387E9)</f>
        <v>1712263870</v>
      </c>
      <c r="G569" s="3">
        <f>IFERROR(__xludf.DUMMYFUNCTION("INT((DATE(INDEX(SPLIT(C569,""/| |:""),3), INDEX(SPLIT(C569,""/| |:""),2), INDEX(SPLIT(C569,""/| |:""),1)) + TIME(INDEX(SPLIT(C569,""/| |:""),4), INDEX(SPLIT(C569,""/| |:""),5), INDEX(SPLIT(C569,""/| |:""),6)) - DATE(1970,1,1)) * 86400)"),1.71615187E9)</f>
        <v>1716151870</v>
      </c>
    </row>
    <row r="570">
      <c r="A570" s="1" t="s">
        <v>242</v>
      </c>
      <c r="B570" s="5">
        <v>45416.45174768518</v>
      </c>
      <c r="C570" s="1" t="s">
        <v>1679</v>
      </c>
      <c r="D570" s="1" t="s">
        <v>1680</v>
      </c>
      <c r="F570" s="3">
        <f>IFERROR(__xludf.DUMMYFUNCTION("INT((DATE(INDEX(SPLIT(B570,""/| |:""),3), INDEX(SPLIT(B570,""/| |:""),2), INDEX(SPLIT(B570,""/| |:""),1)) + TIME(INDEX(SPLIT(B570,""/| |:""),4), INDEX(SPLIT(B570,""/| |:""),5), INDEX(SPLIT(B570,""/| |:""),6)) - DATE(1970,1,1)) * 86400)"),1.712314231E9)</f>
        <v>1712314231</v>
      </c>
      <c r="G570" s="3">
        <f>IFERROR(__xludf.DUMMYFUNCTION("INT((DATE(INDEX(SPLIT(C570,""/| |:""),3), INDEX(SPLIT(C570,""/| |:""),2), INDEX(SPLIT(C570,""/| |:""),1)) + TIME(INDEX(SPLIT(C570,""/| |:""),4), INDEX(SPLIT(C570,""/| |:""),5), INDEX(SPLIT(C570,""/| |:""),6)) - DATE(1970,1,1)) * 86400)"),1.716202231E9)</f>
        <v>1716202231</v>
      </c>
    </row>
    <row r="571">
      <c r="A571" s="1" t="s">
        <v>241</v>
      </c>
      <c r="B571" s="5">
        <v>45416.585324074076</v>
      </c>
      <c r="C571" s="1" t="s">
        <v>1681</v>
      </c>
      <c r="D571" s="1" t="s">
        <v>1682</v>
      </c>
      <c r="F571" s="3">
        <f>IFERROR(__xludf.DUMMYFUNCTION("INT((DATE(INDEX(SPLIT(B571,""/| |:""),3), INDEX(SPLIT(B571,""/| |:""),2), INDEX(SPLIT(B571,""/| |:""),1)) + TIME(INDEX(SPLIT(B571,""/| |:""),4), INDEX(SPLIT(B571,""/| |:""),5), INDEX(SPLIT(B571,""/| |:""),6)) - DATE(1970,1,1)) * 86400)"),1.712325772E9)</f>
        <v>1712325772</v>
      </c>
      <c r="G571" s="3">
        <f>IFERROR(__xludf.DUMMYFUNCTION("INT((DATE(INDEX(SPLIT(C571,""/| |:""),3), INDEX(SPLIT(C571,""/| |:""),2), INDEX(SPLIT(C571,""/| |:""),1)) + TIME(INDEX(SPLIT(C571,""/| |:""),4), INDEX(SPLIT(C571,""/| |:""),5), INDEX(SPLIT(C571,""/| |:""),6)) - DATE(1970,1,1)) * 86400)"),1.716213772E9)</f>
        <v>1716213772</v>
      </c>
    </row>
    <row r="572">
      <c r="A572" s="1" t="s">
        <v>240</v>
      </c>
      <c r="B572" s="5">
        <v>45416.58775462963</v>
      </c>
      <c r="C572" s="1" t="s">
        <v>1683</v>
      </c>
      <c r="D572" s="1" t="s">
        <v>1684</v>
      </c>
      <c r="F572" s="3">
        <f>IFERROR(__xludf.DUMMYFUNCTION("INT((DATE(INDEX(SPLIT(B572,""/| |:""),3), INDEX(SPLIT(B572,""/| |:""),2), INDEX(SPLIT(B572,""/| |:""),1)) + TIME(INDEX(SPLIT(B572,""/| |:""),4), INDEX(SPLIT(B572,""/| |:""),5), INDEX(SPLIT(B572,""/| |:""),6)) - DATE(1970,1,1)) * 86400)"),1.712325982E9)</f>
        <v>1712325982</v>
      </c>
      <c r="G572" s="3">
        <f>IFERROR(__xludf.DUMMYFUNCTION("INT((DATE(INDEX(SPLIT(C572,""/| |:""),3), INDEX(SPLIT(C572,""/| |:""),2), INDEX(SPLIT(C572,""/| |:""),1)) + TIME(INDEX(SPLIT(C572,""/| |:""),4), INDEX(SPLIT(C572,""/| |:""),5), INDEX(SPLIT(C572,""/| |:""),6)) - DATE(1970,1,1)) * 86400)"),1.716213982E9)</f>
        <v>1716213982</v>
      </c>
    </row>
    <row r="573">
      <c r="A573" s="1" t="s">
        <v>239</v>
      </c>
      <c r="B573" s="5">
        <v>45416.58883101852</v>
      </c>
      <c r="C573" s="1" t="s">
        <v>1685</v>
      </c>
      <c r="D573" s="1" t="s">
        <v>1686</v>
      </c>
      <c r="F573" s="3">
        <f>IFERROR(__xludf.DUMMYFUNCTION("INT((DATE(INDEX(SPLIT(B573,""/| |:""),3), INDEX(SPLIT(B573,""/| |:""),2), INDEX(SPLIT(B573,""/| |:""),1)) + TIME(INDEX(SPLIT(B573,""/| |:""),4), INDEX(SPLIT(B573,""/| |:""),5), INDEX(SPLIT(B573,""/| |:""),6)) - DATE(1970,1,1)) * 86400)"),1.712326075E9)</f>
        <v>1712326075</v>
      </c>
      <c r="G573" s="3">
        <f>IFERROR(__xludf.DUMMYFUNCTION("INT((DATE(INDEX(SPLIT(C573,""/| |:""),3), INDEX(SPLIT(C573,""/| |:""),2), INDEX(SPLIT(C573,""/| |:""),1)) + TIME(INDEX(SPLIT(C573,""/| |:""),4), INDEX(SPLIT(C573,""/| |:""),5), INDEX(SPLIT(C573,""/| |:""),6)) - DATE(1970,1,1)) * 86400)"),1.716214075E9)</f>
        <v>1716214075</v>
      </c>
    </row>
    <row r="574">
      <c r="A574" s="1" t="s">
        <v>238</v>
      </c>
      <c r="B574" s="5">
        <v>45416.60188657408</v>
      </c>
      <c r="C574" s="1" t="s">
        <v>1687</v>
      </c>
      <c r="D574" s="1" t="s">
        <v>1688</v>
      </c>
      <c r="F574" s="3">
        <f>IFERROR(__xludf.DUMMYFUNCTION("INT((DATE(INDEX(SPLIT(B574,""/| |:""),3), INDEX(SPLIT(B574,""/| |:""),2), INDEX(SPLIT(B574,""/| |:""),1)) + TIME(INDEX(SPLIT(B574,""/| |:""),4), INDEX(SPLIT(B574,""/| |:""),5), INDEX(SPLIT(B574,""/| |:""),6)) - DATE(1970,1,1)) * 86400)"),1.712327203E9)</f>
        <v>1712327203</v>
      </c>
      <c r="G574" s="3">
        <f>IFERROR(__xludf.DUMMYFUNCTION("INT((DATE(INDEX(SPLIT(C574,""/| |:""),3), INDEX(SPLIT(C574,""/| |:""),2), INDEX(SPLIT(C574,""/| |:""),1)) + TIME(INDEX(SPLIT(C574,""/| |:""),4), INDEX(SPLIT(C574,""/| |:""),5), INDEX(SPLIT(C574,""/| |:""),6)) - DATE(1970,1,1)) * 86400)"),1.716215203E9)</f>
        <v>1716215203</v>
      </c>
    </row>
    <row r="575">
      <c r="A575" s="1" t="s">
        <v>237</v>
      </c>
      <c r="B575" s="5">
        <v>45416.638090277775</v>
      </c>
      <c r="C575" s="1" t="s">
        <v>1689</v>
      </c>
      <c r="D575" s="1" t="s">
        <v>1690</v>
      </c>
      <c r="F575" s="3">
        <f>IFERROR(__xludf.DUMMYFUNCTION("INT((DATE(INDEX(SPLIT(B575,""/| |:""),3), INDEX(SPLIT(B575,""/| |:""),2), INDEX(SPLIT(B575,""/| |:""),1)) + TIME(INDEX(SPLIT(B575,""/| |:""),4), INDEX(SPLIT(B575,""/| |:""),5), INDEX(SPLIT(B575,""/| |:""),6)) - DATE(1970,1,1)) * 86400)"),1.712330331E9)</f>
        <v>1712330331</v>
      </c>
      <c r="G575" s="3">
        <f>IFERROR(__xludf.DUMMYFUNCTION("INT((DATE(INDEX(SPLIT(C575,""/| |:""),3), INDEX(SPLIT(C575,""/| |:""),2), INDEX(SPLIT(C575,""/| |:""),1)) + TIME(INDEX(SPLIT(C575,""/| |:""),4), INDEX(SPLIT(C575,""/| |:""),5), INDEX(SPLIT(C575,""/| |:""),6)) - DATE(1970,1,1)) * 86400)"),1.716218331E9)</f>
        <v>1716218331</v>
      </c>
    </row>
    <row r="576">
      <c r="A576" s="1" t="s">
        <v>236</v>
      </c>
      <c r="B576" s="5">
        <v>45416.64</v>
      </c>
      <c r="C576" s="1" t="s">
        <v>1691</v>
      </c>
      <c r="D576" s="1" t="s">
        <v>1692</v>
      </c>
      <c r="F576" s="3">
        <f>IFERROR(__xludf.DUMMYFUNCTION("INT((DATE(INDEX(SPLIT(B576,""/| |:""),3), INDEX(SPLIT(B576,""/| |:""),2), INDEX(SPLIT(B576,""/| |:""),1)) + TIME(INDEX(SPLIT(B576,""/| |:""),4), INDEX(SPLIT(B576,""/| |:""),5), INDEX(SPLIT(B576,""/| |:""),6)) - DATE(1970,1,1)) * 86400)"),1.712330496E9)</f>
        <v>1712330496</v>
      </c>
      <c r="G576" s="3">
        <f>IFERROR(__xludf.DUMMYFUNCTION("INT((DATE(INDEX(SPLIT(C576,""/| |:""),3), INDEX(SPLIT(C576,""/| |:""),2), INDEX(SPLIT(C576,""/| |:""),1)) + TIME(INDEX(SPLIT(C576,""/| |:""),4), INDEX(SPLIT(C576,""/| |:""),5), INDEX(SPLIT(C576,""/| |:""),6)) - DATE(1970,1,1)) * 86400)"),1.716218496E9)</f>
        <v>1716218496</v>
      </c>
    </row>
    <row r="577">
      <c r="A577" s="1" t="s">
        <v>235</v>
      </c>
      <c r="B577" s="5">
        <v>45416.87810185185</v>
      </c>
      <c r="C577" s="1" t="s">
        <v>1693</v>
      </c>
      <c r="D577" s="1" t="s">
        <v>1694</v>
      </c>
      <c r="F577" s="3">
        <f>IFERROR(__xludf.DUMMYFUNCTION("INT((DATE(INDEX(SPLIT(B577,""/| |:""),3), INDEX(SPLIT(B577,""/| |:""),2), INDEX(SPLIT(B577,""/| |:""),1)) + TIME(INDEX(SPLIT(B577,""/| |:""),4), INDEX(SPLIT(B577,""/| |:""),5), INDEX(SPLIT(B577,""/| |:""),6)) - DATE(1970,1,1)) * 86400)"),1.712351068E9)</f>
        <v>1712351068</v>
      </c>
      <c r="G577" s="3">
        <f>IFERROR(__xludf.DUMMYFUNCTION("INT((DATE(INDEX(SPLIT(C577,""/| |:""),3), INDEX(SPLIT(C577,""/| |:""),2), INDEX(SPLIT(C577,""/| |:""),1)) + TIME(INDEX(SPLIT(C577,""/| |:""),4), INDEX(SPLIT(C577,""/| |:""),5), INDEX(SPLIT(C577,""/| |:""),6)) - DATE(1970,1,1)) * 86400)"),1.716239068E9)</f>
        <v>1716239068</v>
      </c>
    </row>
    <row r="578">
      <c r="A578" s="1" t="s">
        <v>234</v>
      </c>
      <c r="B578" s="5">
        <v>45447.346087962964</v>
      </c>
      <c r="C578" s="1" t="s">
        <v>1695</v>
      </c>
      <c r="D578" s="1" t="s">
        <v>1696</v>
      </c>
      <c r="F578" s="3">
        <f>IFERROR(__xludf.DUMMYFUNCTION("INT((DATE(INDEX(SPLIT(B578,""/| |:""),3), INDEX(SPLIT(B578,""/| |:""),2), INDEX(SPLIT(B578,""/| |:""),1)) + TIME(INDEX(SPLIT(B578,""/| |:""),4), INDEX(SPLIT(B578,""/| |:""),5), INDEX(SPLIT(B578,""/| |:""),6)) - DATE(1970,1,1)) * 86400)"),1.712391502E9)</f>
        <v>1712391502</v>
      </c>
      <c r="G578" s="3">
        <f>IFERROR(__xludf.DUMMYFUNCTION("INT((DATE(INDEX(SPLIT(C578,""/| |:""),3), INDEX(SPLIT(C578,""/| |:""),2), INDEX(SPLIT(C578,""/| |:""),1)) + TIME(INDEX(SPLIT(C578,""/| |:""),4), INDEX(SPLIT(C578,""/| |:""),5), INDEX(SPLIT(C578,""/| |:""),6)) - DATE(1970,1,1)) * 86400)"),1.716279502E9)</f>
        <v>1716279502</v>
      </c>
    </row>
    <row r="579">
      <c r="A579" s="1" t="s">
        <v>73</v>
      </c>
      <c r="B579" s="5" t="s">
        <v>1697</v>
      </c>
      <c r="C579" s="7">
        <v>45329.28487268519</v>
      </c>
      <c r="D579" s="1" t="s">
        <v>1698</v>
      </c>
      <c r="F579" s="3">
        <f>IFERROR(__xludf.DUMMYFUNCTION("INT((DATE(INDEX(SPLIT(B579,""/| |:""),3), INDEX(SPLIT(B579,""/| |:""),2), INDEX(SPLIT(B579,""/| |:""),1)) + TIME(INDEX(SPLIT(B579,""/| |:""),4), INDEX(SPLIT(B579,""/| |:""),5), INDEX(SPLIT(B579,""/| |:""),6)) - DATE(1970,1,1)) * 86400)"),1.716015013E9)</f>
        <v>1716015013</v>
      </c>
      <c r="G579" s="3">
        <f>IFERROR(__xludf.DUMMYFUNCTION("INT((DATE(INDEX(SPLIT(C579,""/| |:""),3), INDEX(SPLIT(C579,""/| |:""),2), INDEX(SPLIT(C579,""/| |:""),1)) + TIME(INDEX(SPLIT(C579,""/| |:""),4), INDEX(SPLIT(C579,""/| |:""),5), INDEX(SPLIT(C579,""/| |:""),6)) - DATE(1970,1,1)) * 86400)"),1.719903013E9)</f>
        <v>1719903013</v>
      </c>
    </row>
    <row r="580">
      <c r="A580" s="1" t="s">
        <v>214</v>
      </c>
      <c r="B580" s="5" t="s">
        <v>1699</v>
      </c>
      <c r="C580" s="7">
        <v>45329.27715277778</v>
      </c>
      <c r="D580" s="1" t="s">
        <v>1698</v>
      </c>
      <c r="F580" s="3">
        <f>IFERROR(__xludf.DUMMYFUNCTION("INT((DATE(INDEX(SPLIT(B580,""/| |:""),3), INDEX(SPLIT(B580,""/| |:""),2), INDEX(SPLIT(B580,""/| |:""),1)) + TIME(INDEX(SPLIT(B580,""/| |:""),4), INDEX(SPLIT(B580,""/| |:""),5), INDEX(SPLIT(B580,""/| |:""),6)) - DATE(1970,1,1)) * 86400)"),1.716014346E9)</f>
        <v>1716014346</v>
      </c>
      <c r="G580" s="3">
        <f>IFERROR(__xludf.DUMMYFUNCTION("INT((DATE(INDEX(SPLIT(C580,""/| |:""),3), INDEX(SPLIT(C580,""/| |:""),2), INDEX(SPLIT(C580,""/| |:""),1)) + TIME(INDEX(SPLIT(C580,""/| |:""),4), INDEX(SPLIT(C580,""/| |:""),5), INDEX(SPLIT(C580,""/| |:""),6)) - DATE(1970,1,1)) * 86400)"),1.719902346E9)</f>
        <v>1719902346</v>
      </c>
    </row>
    <row r="581">
      <c r="A581" s="1" t="s">
        <v>88</v>
      </c>
      <c r="B581" s="5">
        <v>45601.439351851855</v>
      </c>
      <c r="C581" s="1" t="s">
        <v>1700</v>
      </c>
      <c r="D581" s="1" t="s">
        <v>1698</v>
      </c>
      <c r="F581" s="3">
        <f>IFERROR(__xludf.DUMMYFUNCTION("INT((DATE(INDEX(SPLIT(B581,""/| |:""),3), INDEX(SPLIT(B581,""/| |:""),2), INDEX(SPLIT(B581,""/| |:""),1)) + TIME(INDEX(SPLIT(B581,""/| |:""),4), INDEX(SPLIT(B581,""/| |:""),5), INDEX(SPLIT(B581,""/| |:""),6)) - DATE(1970,1,1)) * 86400)"),1.71542356E9)</f>
        <v>1715423560</v>
      </c>
      <c r="G581" s="3">
        <f>IFERROR(__xludf.DUMMYFUNCTION("INT((DATE(INDEX(SPLIT(C581,""/| |:""),3), INDEX(SPLIT(C581,""/| |:""),2), INDEX(SPLIT(C581,""/| |:""),1)) + TIME(INDEX(SPLIT(C581,""/| |:""),4), INDEX(SPLIT(C581,""/| |:""),5), INDEX(SPLIT(C581,""/| |:""),6)) - DATE(1970,1,1)) * 86400)"),1.71931156E9)</f>
        <v>1719311560</v>
      </c>
    </row>
    <row r="582">
      <c r="A582" s="1" t="s">
        <v>215</v>
      </c>
      <c r="B582" s="5">
        <v>45570.15673611111</v>
      </c>
      <c r="C582" s="1" t="s">
        <v>1701</v>
      </c>
      <c r="D582" s="1" t="s">
        <v>1698</v>
      </c>
      <c r="F582" s="3">
        <f>IFERROR(__xludf.DUMMYFUNCTION("INT((DATE(INDEX(SPLIT(B582,""/| |:""),3), INDEX(SPLIT(B582,""/| |:""),2), INDEX(SPLIT(B582,""/| |:""),1)) + TIME(INDEX(SPLIT(B582,""/| |:""),4), INDEX(SPLIT(B582,""/| |:""),5), INDEX(SPLIT(B582,""/| |:""),6)) - DATE(1970,1,1)) * 86400)"),1.715312742E9)</f>
        <v>1715312742</v>
      </c>
      <c r="G582" s="3">
        <f>IFERROR(__xludf.DUMMYFUNCTION("INT((DATE(INDEX(SPLIT(C582,""/| |:""),3), INDEX(SPLIT(C582,""/| |:""),2), INDEX(SPLIT(C582,""/| |:""),1)) + TIME(INDEX(SPLIT(C582,""/| |:""),4), INDEX(SPLIT(C582,""/| |:""),5), INDEX(SPLIT(C582,""/| |:""),6)) - DATE(1970,1,1)) * 86400)"),1.719200742E9)</f>
        <v>1719200742</v>
      </c>
    </row>
    <row r="583">
      <c r="A583" s="1" t="s">
        <v>216</v>
      </c>
      <c r="B583" s="5">
        <v>45387.68969907407</v>
      </c>
      <c r="C583" s="1" t="s">
        <v>1702</v>
      </c>
      <c r="D583" s="1" t="s">
        <v>1698</v>
      </c>
      <c r="F583" s="3">
        <f>IFERROR(__xludf.DUMMYFUNCTION("INT((DATE(INDEX(SPLIT(B583,""/| |:""),3), INDEX(SPLIT(B583,""/| |:""),2), INDEX(SPLIT(B583,""/| |:""),1)) + TIME(INDEX(SPLIT(B583,""/| |:""),4), INDEX(SPLIT(B583,""/| |:""),5), INDEX(SPLIT(B583,""/| |:""),6)) - DATE(1970,1,1)) * 86400)"),1.71484039E9)</f>
        <v>1714840390</v>
      </c>
      <c r="G583" s="3">
        <f>IFERROR(__xludf.DUMMYFUNCTION("INT((DATE(INDEX(SPLIT(C583,""/| |:""),3), INDEX(SPLIT(C583,""/| |:""),2), INDEX(SPLIT(C583,""/| |:""),1)) + TIME(INDEX(SPLIT(C583,""/| |:""),4), INDEX(SPLIT(C583,""/| |:""),5), INDEX(SPLIT(C583,""/| |:""),6)) - DATE(1970,1,1)) * 86400)"),1.71872839E9)</f>
        <v>1718728390</v>
      </c>
    </row>
    <row r="584">
      <c r="A584" s="1" t="s">
        <v>217</v>
      </c>
      <c r="B584" s="5" t="s">
        <v>1703</v>
      </c>
      <c r="C584" s="7">
        <v>45541.316296296296</v>
      </c>
      <c r="D584" s="1" t="s">
        <v>1698</v>
      </c>
      <c r="F584" s="3">
        <f>IFERROR(__xludf.DUMMYFUNCTION("INT((DATE(INDEX(SPLIT(B584,""/| |:""),3), INDEX(SPLIT(B584,""/| |:""),2), INDEX(SPLIT(B584,""/| |:""),1)) + TIME(INDEX(SPLIT(B584,""/| |:""),4), INDEX(SPLIT(B584,""/| |:""),5), INDEX(SPLIT(B584,""/| |:""),6)) - DATE(1970,1,1)) * 86400)"),1.714030528E9)</f>
        <v>1714030528</v>
      </c>
      <c r="G584" s="3">
        <f>IFERROR(__xludf.DUMMYFUNCTION("INT((DATE(INDEX(SPLIT(C584,""/| |:""),3), INDEX(SPLIT(C584,""/| |:""),2), INDEX(SPLIT(C584,""/| |:""),1)) + TIME(INDEX(SPLIT(C584,""/| |:""),4), INDEX(SPLIT(C584,""/| |:""),5), INDEX(SPLIT(C584,""/| |:""),6)) - DATE(1970,1,1)) * 86400)"),1.717918528E9)</f>
        <v>1717918528</v>
      </c>
    </row>
    <row r="585">
      <c r="A585" s="1" t="s">
        <v>218</v>
      </c>
      <c r="B585" s="5" t="s">
        <v>1704</v>
      </c>
      <c r="C585" s="7">
        <v>45388.84960648148</v>
      </c>
      <c r="D585" s="1" t="s">
        <v>1698</v>
      </c>
      <c r="F585" s="3">
        <f>IFERROR(__xludf.DUMMYFUNCTION("INT((DATE(INDEX(SPLIT(B585,""/| |:""),3), INDEX(SPLIT(B585,""/| |:""),2), INDEX(SPLIT(B585,""/| |:""),1)) + TIME(INDEX(SPLIT(B585,""/| |:""),4), INDEX(SPLIT(B585,""/| |:""),5), INDEX(SPLIT(B585,""/| |:""),6)) - DATE(1970,1,1)) * 86400)"),1.713644606E9)</f>
        <v>1713644606</v>
      </c>
      <c r="G585" s="3">
        <f>IFERROR(__xludf.DUMMYFUNCTION("INT((DATE(INDEX(SPLIT(C585,""/| |:""),3), INDEX(SPLIT(C585,""/| |:""),2), INDEX(SPLIT(C585,""/| |:""),1)) + TIME(INDEX(SPLIT(C585,""/| |:""),4), INDEX(SPLIT(C585,""/| |:""),5), INDEX(SPLIT(C585,""/| |:""),6)) - DATE(1970,1,1)) * 86400)"),1.717532606E9)</f>
        <v>1717532606</v>
      </c>
    </row>
    <row r="586">
      <c r="A586" s="1" t="s">
        <v>219</v>
      </c>
      <c r="B586" s="5" t="s">
        <v>1705</v>
      </c>
      <c r="C586" s="7">
        <v>45328.75646990741</v>
      </c>
      <c r="D586" s="1" t="s">
        <v>1698</v>
      </c>
      <c r="F586" s="3">
        <f>IFERROR(__xludf.DUMMYFUNCTION("INT((DATE(INDEX(SPLIT(B586,""/| |:""),3), INDEX(SPLIT(B586,""/| |:""),2), INDEX(SPLIT(B586,""/| |:""),1)) + TIME(INDEX(SPLIT(B586,""/| |:""),4), INDEX(SPLIT(B586,""/| |:""),5), INDEX(SPLIT(B586,""/| |:""),6)) - DATE(1970,1,1)) * 86400)"),1.713463759E9)</f>
        <v>1713463759</v>
      </c>
      <c r="G586" s="3">
        <f>IFERROR(__xludf.DUMMYFUNCTION("INT((DATE(INDEX(SPLIT(C586,""/| |:""),3), INDEX(SPLIT(C586,""/| |:""),2), INDEX(SPLIT(C586,""/| |:""),1)) + TIME(INDEX(SPLIT(C586,""/| |:""),4), INDEX(SPLIT(C586,""/| |:""),5), INDEX(SPLIT(C586,""/| |:""),6)) - DATE(1970,1,1)) * 86400)"),1.717351759E9)</f>
        <v>1717351759</v>
      </c>
    </row>
    <row r="587">
      <c r="A587" s="1" t="s">
        <v>219</v>
      </c>
      <c r="B587" s="5" t="s">
        <v>1706</v>
      </c>
      <c r="C587" s="7">
        <v>45328.755694444444</v>
      </c>
      <c r="D587" s="1" t="s">
        <v>1698</v>
      </c>
      <c r="F587" s="3">
        <f>IFERROR(__xludf.DUMMYFUNCTION("INT((DATE(INDEX(SPLIT(B587,""/| |:""),3), INDEX(SPLIT(B587,""/| |:""),2), INDEX(SPLIT(B587,""/| |:""),1)) + TIME(INDEX(SPLIT(B587,""/| |:""),4), INDEX(SPLIT(B587,""/| |:""),5), INDEX(SPLIT(B587,""/| |:""),6)) - DATE(1970,1,1)) * 86400)"),1.713463692E9)</f>
        <v>1713463692</v>
      </c>
      <c r="G587" s="3">
        <f>IFERROR(__xludf.DUMMYFUNCTION("INT((DATE(INDEX(SPLIT(C587,""/| |:""),3), INDEX(SPLIT(C587,""/| |:""),2), INDEX(SPLIT(C587,""/| |:""),1)) + TIME(INDEX(SPLIT(C587,""/| |:""),4), INDEX(SPLIT(C587,""/| |:""),5), INDEX(SPLIT(C587,""/| |:""),6)) - DATE(1970,1,1)) * 86400)"),1.717351692E9)</f>
        <v>1717351692</v>
      </c>
    </row>
    <row r="588">
      <c r="A588" s="1" t="s">
        <v>220</v>
      </c>
      <c r="B588" s="5" t="s">
        <v>1707</v>
      </c>
      <c r="C588" s="7">
        <v>45328.75392361111</v>
      </c>
      <c r="D588" s="1" t="s">
        <v>1698</v>
      </c>
      <c r="F588" s="3">
        <f>IFERROR(__xludf.DUMMYFUNCTION("INT((DATE(INDEX(SPLIT(B588,""/| |:""),3), INDEX(SPLIT(B588,""/| |:""),2), INDEX(SPLIT(B588,""/| |:""),1)) + TIME(INDEX(SPLIT(B588,""/| |:""),4), INDEX(SPLIT(B588,""/| |:""),5), INDEX(SPLIT(B588,""/| |:""),6)) - DATE(1970,1,1)) * 86400)"),1.713463539E9)</f>
        <v>1713463539</v>
      </c>
      <c r="G588" s="3">
        <f>IFERROR(__xludf.DUMMYFUNCTION("INT((DATE(INDEX(SPLIT(C588,""/| |:""),3), INDEX(SPLIT(C588,""/| |:""),2), INDEX(SPLIT(C588,""/| |:""),1)) + TIME(INDEX(SPLIT(C588,""/| |:""),4), INDEX(SPLIT(C588,""/| |:""),5), INDEX(SPLIT(C588,""/| |:""),6)) - DATE(1970,1,1)) * 86400)"),1.717351539E9)</f>
        <v>1717351539</v>
      </c>
    </row>
    <row r="589">
      <c r="A589" s="1" t="s">
        <v>220</v>
      </c>
      <c r="B589" s="5" t="s">
        <v>1708</v>
      </c>
      <c r="C589" s="7">
        <v>45328.75263888889</v>
      </c>
      <c r="D589" s="1" t="s">
        <v>1698</v>
      </c>
      <c r="F589" s="3">
        <f>IFERROR(__xludf.DUMMYFUNCTION("INT((DATE(INDEX(SPLIT(B589,""/| |:""),3), INDEX(SPLIT(B589,""/| |:""),2), INDEX(SPLIT(B589,""/| |:""),1)) + TIME(INDEX(SPLIT(B589,""/| |:""),4), INDEX(SPLIT(B589,""/| |:""),5), INDEX(SPLIT(B589,""/| |:""),6)) - DATE(1970,1,1)) * 86400)"),1.713463428E9)</f>
        <v>1713463428</v>
      </c>
      <c r="G589" s="3">
        <f>IFERROR(__xludf.DUMMYFUNCTION("INT((DATE(INDEX(SPLIT(C589,""/| |:""),3), INDEX(SPLIT(C589,""/| |:""),2), INDEX(SPLIT(C589,""/| |:""),1)) + TIME(INDEX(SPLIT(C589,""/| |:""),4), INDEX(SPLIT(C589,""/| |:""),5), INDEX(SPLIT(C589,""/| |:""),6)) - DATE(1970,1,1)) * 86400)"),1.717351428E9)</f>
        <v>1717351428</v>
      </c>
    </row>
    <row r="590">
      <c r="A590" s="1" t="s">
        <v>110</v>
      </c>
      <c r="B590" s="5" t="s">
        <v>1709</v>
      </c>
      <c r="C590" s="7">
        <v>45328.012824074074</v>
      </c>
      <c r="D590" s="1" t="s">
        <v>1698</v>
      </c>
      <c r="F590" s="3">
        <f>IFERROR(__xludf.DUMMYFUNCTION("INT((DATE(INDEX(SPLIT(B590,""/| |:""),3), INDEX(SPLIT(B590,""/| |:""),2), INDEX(SPLIT(B590,""/| |:""),1)) + TIME(INDEX(SPLIT(B590,""/| |:""),4), INDEX(SPLIT(B590,""/| |:""),5), INDEX(SPLIT(B590,""/| |:""),6)) - DATE(1970,1,1)) * 86400)"),1.713399508E9)</f>
        <v>1713399508</v>
      </c>
      <c r="G590" s="3">
        <f>IFERROR(__xludf.DUMMYFUNCTION("INT((DATE(INDEX(SPLIT(C590,""/| |:""),3), INDEX(SPLIT(C590,""/| |:""),2), INDEX(SPLIT(C590,""/| |:""),1)) + TIME(INDEX(SPLIT(C590,""/| |:""),4), INDEX(SPLIT(C590,""/| |:""),5), INDEX(SPLIT(C590,""/| |:""),6)) - DATE(1970,1,1)) * 86400)"),1.717287508E9)</f>
        <v>1717287508</v>
      </c>
    </row>
    <row r="591">
      <c r="A591" s="1" t="s">
        <v>221</v>
      </c>
      <c r="B591" s="5" t="s">
        <v>1710</v>
      </c>
      <c r="C591" s="1" t="s">
        <v>1711</v>
      </c>
      <c r="D591" s="1" t="s">
        <v>1698</v>
      </c>
      <c r="F591" s="3">
        <f>IFERROR(__xludf.DUMMYFUNCTION("INT((DATE(INDEX(SPLIT(B591,""/| |:""),3), INDEX(SPLIT(B591,""/| |:""),2), INDEX(SPLIT(B591,""/| |:""),1)) + TIME(INDEX(SPLIT(B591,""/| |:""),4), INDEX(SPLIT(B591,""/| |:""),5), INDEX(SPLIT(B591,""/| |:""),6)) - DATE(1970,1,1)) * 86400)"),1.713007674E9)</f>
        <v>1713007674</v>
      </c>
      <c r="G591" s="3">
        <f>IFERROR(__xludf.DUMMYFUNCTION("INT((DATE(INDEX(SPLIT(C591,""/| |:""),3), INDEX(SPLIT(C591,""/| |:""),2), INDEX(SPLIT(C591,""/| |:""),1)) + TIME(INDEX(SPLIT(C591,""/| |:""),4), INDEX(SPLIT(C591,""/| |:""),5), INDEX(SPLIT(C591,""/| |:""),6)) - DATE(1970,1,1)) * 86400)"),1.716895674E9)</f>
        <v>1716895674</v>
      </c>
    </row>
    <row r="592">
      <c r="A592" s="1" t="s">
        <v>90</v>
      </c>
      <c r="B592" s="5" t="s">
        <v>1712</v>
      </c>
      <c r="C592" s="1" t="s">
        <v>1713</v>
      </c>
      <c r="D592" s="1" t="s">
        <v>1698</v>
      </c>
      <c r="F592" s="3">
        <f>IFERROR(__xludf.DUMMYFUNCTION("INT((DATE(INDEX(SPLIT(B592,""/| |:""),3), INDEX(SPLIT(B592,""/| |:""),2), INDEX(SPLIT(B592,""/| |:""),1)) + TIME(INDEX(SPLIT(B592,""/| |:""),4), INDEX(SPLIT(B592,""/| |:""),5), INDEX(SPLIT(B592,""/| |:""),6)) - DATE(1970,1,1)) * 86400)"),1.713007451E9)</f>
        <v>1713007451</v>
      </c>
      <c r="G592" s="3">
        <f>IFERROR(__xludf.DUMMYFUNCTION("INT((DATE(INDEX(SPLIT(C592,""/| |:""),3), INDEX(SPLIT(C592,""/| |:""),2), INDEX(SPLIT(C592,""/| |:""),1)) + TIME(INDEX(SPLIT(C592,""/| |:""),4), INDEX(SPLIT(C592,""/| |:""),5), INDEX(SPLIT(C592,""/| |:""),6)) - DATE(1970,1,1)) * 86400)"),1.716895451E9)</f>
        <v>1716895451</v>
      </c>
    </row>
    <row r="593">
      <c r="A593" s="1" t="s">
        <v>222</v>
      </c>
      <c r="B593" s="5">
        <v>45630.675787037035</v>
      </c>
      <c r="C593" s="1" t="s">
        <v>1714</v>
      </c>
      <c r="D593" s="1" t="s">
        <v>1698</v>
      </c>
      <c r="F593" s="3">
        <f>IFERROR(__xludf.DUMMYFUNCTION("INT((DATE(INDEX(SPLIT(B593,""/| |:""),3), INDEX(SPLIT(B593,""/| |:""),2), INDEX(SPLIT(B593,""/| |:""),1)) + TIME(INDEX(SPLIT(B593,""/| |:""),4), INDEX(SPLIT(B593,""/| |:""),5), INDEX(SPLIT(B593,""/| |:""),6)) - DATE(1970,1,1)) * 86400)"),1.712938388E9)</f>
        <v>1712938388</v>
      </c>
      <c r="G593" s="3">
        <f>IFERROR(__xludf.DUMMYFUNCTION("INT((DATE(INDEX(SPLIT(C593,""/| |:""),3), INDEX(SPLIT(C593,""/| |:""),2), INDEX(SPLIT(C593,""/| |:""),1)) + TIME(INDEX(SPLIT(C593,""/| |:""),4), INDEX(SPLIT(C593,""/| |:""),5), INDEX(SPLIT(C593,""/| |:""),6)) - DATE(1970,1,1)) * 86400)"),1.716826388E9)</f>
        <v>1716826388</v>
      </c>
    </row>
    <row r="594">
      <c r="A594" s="1" t="s">
        <v>223</v>
      </c>
      <c r="B594" s="5">
        <v>45630.40458333334</v>
      </c>
      <c r="C594" s="1" t="s">
        <v>1715</v>
      </c>
      <c r="D594" s="1" t="s">
        <v>1698</v>
      </c>
      <c r="F594" s="3">
        <f>IFERROR(__xludf.DUMMYFUNCTION("INT((DATE(INDEX(SPLIT(B594,""/| |:""),3), INDEX(SPLIT(B594,""/| |:""),2), INDEX(SPLIT(B594,""/| |:""),1)) + TIME(INDEX(SPLIT(B594,""/| |:""),4), INDEX(SPLIT(B594,""/| |:""),5), INDEX(SPLIT(B594,""/| |:""),6)) - DATE(1970,1,1)) * 86400)"),1.712914956E9)</f>
        <v>1712914956</v>
      </c>
      <c r="G594" s="3">
        <f>IFERROR(__xludf.DUMMYFUNCTION("INT((DATE(INDEX(SPLIT(C594,""/| |:""),3), INDEX(SPLIT(C594,""/| |:""),2), INDEX(SPLIT(C594,""/| |:""),1)) + TIME(INDEX(SPLIT(C594,""/| |:""),4), INDEX(SPLIT(C594,""/| |:""),5), INDEX(SPLIT(C594,""/| |:""),6)) - DATE(1970,1,1)) * 86400)"),1.716802956E9)</f>
        <v>1716802956</v>
      </c>
    </row>
    <row r="595">
      <c r="A595" s="1" t="s">
        <v>224</v>
      </c>
      <c r="B595" s="5">
        <v>45600.49388888889</v>
      </c>
      <c r="C595" s="1" t="s">
        <v>1716</v>
      </c>
      <c r="D595" s="1" t="s">
        <v>1698</v>
      </c>
      <c r="F595" s="3">
        <f>IFERROR(__xludf.DUMMYFUNCTION("INT((DATE(INDEX(SPLIT(B595,""/| |:""),3), INDEX(SPLIT(B595,""/| |:""),2), INDEX(SPLIT(B595,""/| |:""),1)) + TIME(INDEX(SPLIT(B595,""/| |:""),4), INDEX(SPLIT(B595,""/| |:""),5), INDEX(SPLIT(B595,""/| |:""),6)) - DATE(1970,1,1)) * 86400)"),1.712836272E9)</f>
        <v>1712836272</v>
      </c>
      <c r="G595" s="3">
        <f>IFERROR(__xludf.DUMMYFUNCTION("INT((DATE(INDEX(SPLIT(C595,""/| |:""),3), INDEX(SPLIT(C595,""/| |:""),2), INDEX(SPLIT(C595,""/| |:""),1)) + TIME(INDEX(SPLIT(C595,""/| |:""),4), INDEX(SPLIT(C595,""/| |:""),5), INDEX(SPLIT(C595,""/| |:""),6)) - DATE(1970,1,1)) * 86400)"),1.716724272E9)</f>
        <v>1716724272</v>
      </c>
    </row>
    <row r="596">
      <c r="A596" s="1" t="s">
        <v>225</v>
      </c>
      <c r="B596" s="5">
        <v>45569.71827546296</v>
      </c>
      <c r="C596" s="1" t="s">
        <v>1717</v>
      </c>
      <c r="D596" s="1" t="s">
        <v>1698</v>
      </c>
      <c r="F596" s="3">
        <f>IFERROR(__xludf.DUMMYFUNCTION("INT((DATE(INDEX(SPLIT(B596,""/| |:""),3), INDEX(SPLIT(B596,""/| |:""),2), INDEX(SPLIT(B596,""/| |:""),1)) + TIME(INDEX(SPLIT(B596,""/| |:""),4), INDEX(SPLIT(B596,""/| |:""),5), INDEX(SPLIT(B596,""/| |:""),6)) - DATE(1970,1,1)) * 86400)"),1.712769259E9)</f>
        <v>1712769259</v>
      </c>
      <c r="G596" s="3">
        <f>IFERROR(__xludf.DUMMYFUNCTION("INT((DATE(INDEX(SPLIT(C596,""/| |:""),3), INDEX(SPLIT(C596,""/| |:""),2), INDEX(SPLIT(C596,""/| |:""),1)) + TIME(INDEX(SPLIT(C596,""/| |:""),4), INDEX(SPLIT(C596,""/| |:""),5), INDEX(SPLIT(C596,""/| |:""),6)) - DATE(1970,1,1)) * 86400)"),1.716657259E9)</f>
        <v>1716657259</v>
      </c>
    </row>
    <row r="597">
      <c r="A597" s="1" t="s">
        <v>226</v>
      </c>
      <c r="B597" s="5">
        <v>45569.619108796294</v>
      </c>
      <c r="C597" s="1" t="s">
        <v>1718</v>
      </c>
      <c r="D597" s="1" t="s">
        <v>1698</v>
      </c>
      <c r="F597" s="3">
        <f>IFERROR(__xludf.DUMMYFUNCTION("INT((DATE(INDEX(SPLIT(B597,""/| |:""),3), INDEX(SPLIT(B597,""/| |:""),2), INDEX(SPLIT(B597,""/| |:""),1)) + TIME(INDEX(SPLIT(B597,""/| |:""),4), INDEX(SPLIT(B597,""/| |:""),5), INDEX(SPLIT(B597,""/| |:""),6)) - DATE(1970,1,1)) * 86400)"),1.712760691E9)</f>
        <v>1712760691</v>
      </c>
      <c r="G597" s="3">
        <f>IFERROR(__xludf.DUMMYFUNCTION("INT((DATE(INDEX(SPLIT(C597,""/| |:""),3), INDEX(SPLIT(C597,""/| |:""),2), INDEX(SPLIT(C597,""/| |:""),1)) + TIME(INDEX(SPLIT(C597,""/| |:""),4), INDEX(SPLIT(C597,""/| |:""),5), INDEX(SPLIT(C597,""/| |:""),6)) - DATE(1970,1,1)) * 86400)"),1.716648691E9)</f>
        <v>1716648691</v>
      </c>
    </row>
    <row r="598">
      <c r="A598" s="1" t="s">
        <v>99</v>
      </c>
      <c r="B598" s="5">
        <v>45539.5353125</v>
      </c>
      <c r="C598" s="1" t="s">
        <v>1719</v>
      </c>
      <c r="D598" s="1" t="s">
        <v>1698</v>
      </c>
      <c r="F598" s="3">
        <f>IFERROR(__xludf.DUMMYFUNCTION("INT((DATE(INDEX(SPLIT(B598,""/| |:""),3), INDEX(SPLIT(B598,""/| |:""),2), INDEX(SPLIT(B598,""/| |:""),1)) + TIME(INDEX(SPLIT(B598,""/| |:""),4), INDEX(SPLIT(B598,""/| |:""),5), INDEX(SPLIT(B598,""/| |:""),6)) - DATE(1970,1,1)) * 86400)"),1.712667051E9)</f>
        <v>1712667051</v>
      </c>
      <c r="G598" s="3">
        <f>IFERROR(__xludf.DUMMYFUNCTION("INT((DATE(INDEX(SPLIT(C598,""/| |:""),3), INDEX(SPLIT(C598,""/| |:""),2), INDEX(SPLIT(C598,""/| |:""),1)) + TIME(INDEX(SPLIT(C598,""/| |:""),4), INDEX(SPLIT(C598,""/| |:""),5), INDEX(SPLIT(C598,""/| |:""),6)) - DATE(1970,1,1)) * 86400)"),1.716555051E9)</f>
        <v>1716555051</v>
      </c>
    </row>
    <row r="599">
      <c r="A599" s="1" t="s">
        <v>177</v>
      </c>
      <c r="B599" s="5">
        <v>45539.53328703704</v>
      </c>
      <c r="C599" s="1" t="s">
        <v>1720</v>
      </c>
      <c r="D599" s="1" t="s">
        <v>1698</v>
      </c>
      <c r="F599" s="3">
        <f>IFERROR(__xludf.DUMMYFUNCTION("INT((DATE(INDEX(SPLIT(B599,""/| |:""),3), INDEX(SPLIT(B599,""/| |:""),2), INDEX(SPLIT(B599,""/| |:""),1)) + TIME(INDEX(SPLIT(B599,""/| |:""),4), INDEX(SPLIT(B599,""/| |:""),5), INDEX(SPLIT(B599,""/| |:""),6)) - DATE(1970,1,1)) * 86400)"),1.712666876E9)</f>
        <v>1712666876</v>
      </c>
      <c r="G599" s="3">
        <f>IFERROR(__xludf.DUMMYFUNCTION("INT((DATE(INDEX(SPLIT(C599,""/| |:""),3), INDEX(SPLIT(C599,""/| |:""),2), INDEX(SPLIT(C599,""/| |:""),1)) + TIME(INDEX(SPLIT(C599,""/| |:""),4), INDEX(SPLIT(C599,""/| |:""),5), INDEX(SPLIT(C599,""/| |:""),6)) - DATE(1970,1,1)) * 86400)"),1.716554876E9)</f>
        <v>1716554876</v>
      </c>
    </row>
    <row r="600">
      <c r="A600" s="1" t="s">
        <v>185</v>
      </c>
      <c r="B600" s="5">
        <v>45539.37431712963</v>
      </c>
      <c r="C600" s="1" t="s">
        <v>1721</v>
      </c>
      <c r="D600" s="1" t="s">
        <v>1698</v>
      </c>
      <c r="F600" s="3">
        <f>IFERROR(__xludf.DUMMYFUNCTION("INT((DATE(INDEX(SPLIT(B600,""/| |:""),3), INDEX(SPLIT(B600,""/| |:""),2), INDEX(SPLIT(B600,""/| |:""),1)) + TIME(INDEX(SPLIT(B600,""/| |:""),4), INDEX(SPLIT(B600,""/| |:""),5), INDEX(SPLIT(B600,""/| |:""),6)) - DATE(1970,1,1)) * 86400)"),1.712653141E9)</f>
        <v>1712653141</v>
      </c>
      <c r="G600" s="3">
        <f>IFERROR(__xludf.DUMMYFUNCTION("INT((DATE(INDEX(SPLIT(C600,""/| |:""),3), INDEX(SPLIT(C600,""/| |:""),2), INDEX(SPLIT(C600,""/| |:""),1)) + TIME(INDEX(SPLIT(C600,""/| |:""),4), INDEX(SPLIT(C600,""/| |:""),5), INDEX(SPLIT(C600,""/| |:""),6)) - DATE(1970,1,1)) * 86400)"),1.716541141E9)</f>
        <v>1716541141</v>
      </c>
    </row>
    <row r="601">
      <c r="A601" s="1" t="s">
        <v>227</v>
      </c>
      <c r="B601" s="5">
        <v>45539.330983796295</v>
      </c>
      <c r="C601" s="1" t="s">
        <v>1722</v>
      </c>
      <c r="D601" s="1" t="s">
        <v>1698</v>
      </c>
      <c r="F601" s="3">
        <f>IFERROR(__xludf.DUMMYFUNCTION("INT((DATE(INDEX(SPLIT(B601,""/| |:""),3), INDEX(SPLIT(B601,""/| |:""),2), INDEX(SPLIT(B601,""/| |:""),1)) + TIME(INDEX(SPLIT(B601,""/| |:""),4), INDEX(SPLIT(B601,""/| |:""),5), INDEX(SPLIT(B601,""/| |:""),6)) - DATE(1970,1,1)) * 86400)"),1.712649397E9)</f>
        <v>1712649397</v>
      </c>
      <c r="G601" s="3">
        <f>IFERROR(__xludf.DUMMYFUNCTION("INT((DATE(INDEX(SPLIT(C601,""/| |:""),3), INDEX(SPLIT(C601,""/| |:""),2), INDEX(SPLIT(C601,""/| |:""),1)) + TIME(INDEX(SPLIT(C601,""/| |:""),4), INDEX(SPLIT(C601,""/| |:""),5), INDEX(SPLIT(C601,""/| |:""),6)) - DATE(1970,1,1)) * 86400)"),1.716537397E9)</f>
        <v>1716537397</v>
      </c>
    </row>
    <row r="602">
      <c r="A602" s="1" t="s">
        <v>123</v>
      </c>
      <c r="B602" s="5">
        <v>45539.098969907405</v>
      </c>
      <c r="C602" s="1" t="s">
        <v>1723</v>
      </c>
      <c r="D602" s="1" t="s">
        <v>1698</v>
      </c>
      <c r="F602" s="3">
        <f>IFERROR(__xludf.DUMMYFUNCTION("INT((DATE(INDEX(SPLIT(B602,""/| |:""),3), INDEX(SPLIT(B602,""/| |:""),2), INDEX(SPLIT(B602,""/| |:""),1)) + TIME(INDEX(SPLIT(B602,""/| |:""),4), INDEX(SPLIT(B602,""/| |:""),5), INDEX(SPLIT(B602,""/| |:""),6)) - DATE(1970,1,1)) * 86400)"),1.712629351E9)</f>
        <v>1712629351</v>
      </c>
      <c r="G602" s="3">
        <f>IFERROR(__xludf.DUMMYFUNCTION("INT((DATE(INDEX(SPLIT(C602,""/| |:""),3), INDEX(SPLIT(C602,""/| |:""),2), INDEX(SPLIT(C602,""/| |:""),1)) + TIME(INDEX(SPLIT(C602,""/| |:""),4), INDEX(SPLIT(C602,""/| |:""),5), INDEX(SPLIT(C602,""/| |:""),6)) - DATE(1970,1,1)) * 86400)"),1.716517351E9)</f>
        <v>1716517351</v>
      </c>
    </row>
    <row r="603">
      <c r="A603" s="1" t="s">
        <v>182</v>
      </c>
      <c r="B603" s="5">
        <v>45508.94664351852</v>
      </c>
      <c r="C603" s="1" t="s">
        <v>1724</v>
      </c>
      <c r="D603" s="1" t="s">
        <v>1698</v>
      </c>
      <c r="F603" s="3">
        <f>IFERROR(__xludf.DUMMYFUNCTION("INT((DATE(INDEX(SPLIT(B603,""/| |:""),3), INDEX(SPLIT(B603,""/| |:""),2), INDEX(SPLIT(B603,""/| |:""),1)) + TIME(INDEX(SPLIT(B603,""/| |:""),4), INDEX(SPLIT(B603,""/| |:""),5), INDEX(SPLIT(B603,""/| |:""),6)) - DATE(1970,1,1)) * 86400)"),1.71261619E9)</f>
        <v>1712616190</v>
      </c>
      <c r="G603" s="3">
        <f>IFERROR(__xludf.DUMMYFUNCTION("INT((DATE(INDEX(SPLIT(C603,""/| |:""),3), INDEX(SPLIT(C603,""/| |:""),2), INDEX(SPLIT(C603,""/| |:""),1)) + TIME(INDEX(SPLIT(C603,""/| |:""),4), INDEX(SPLIT(C603,""/| |:""),5), INDEX(SPLIT(C603,""/| |:""),6)) - DATE(1970,1,1)) * 86400)"),1.71650419E9)</f>
        <v>1716504190</v>
      </c>
    </row>
    <row r="604">
      <c r="A604" s="1" t="s">
        <v>173</v>
      </c>
      <c r="B604" s="5">
        <v>45508.940775462965</v>
      </c>
      <c r="C604" s="1" t="s">
        <v>1725</v>
      </c>
      <c r="D604" s="1" t="s">
        <v>1698</v>
      </c>
      <c r="F604" s="3">
        <f>IFERROR(__xludf.DUMMYFUNCTION("INT((DATE(INDEX(SPLIT(B604,""/| |:""),3), INDEX(SPLIT(B604,""/| |:""),2), INDEX(SPLIT(B604,""/| |:""),1)) + TIME(INDEX(SPLIT(B604,""/| |:""),4), INDEX(SPLIT(B604,""/| |:""),5), INDEX(SPLIT(B604,""/| |:""),6)) - DATE(1970,1,1)) * 86400)"),1.712615683E9)</f>
        <v>1712615683</v>
      </c>
      <c r="G604" s="3">
        <f>IFERROR(__xludf.DUMMYFUNCTION("INT((DATE(INDEX(SPLIT(C604,""/| |:""),3), INDEX(SPLIT(C604,""/| |:""),2), INDEX(SPLIT(C604,""/| |:""),1)) + TIME(INDEX(SPLIT(C604,""/| |:""),4), INDEX(SPLIT(C604,""/| |:""),5), INDEX(SPLIT(C604,""/| |:""),6)) - DATE(1970,1,1)) * 86400)"),1.716503683E9)</f>
        <v>1716503683</v>
      </c>
    </row>
    <row r="605">
      <c r="A605" s="1" t="s">
        <v>178</v>
      </c>
      <c r="B605" s="5">
        <v>45508.90660879629</v>
      </c>
      <c r="C605" s="1" t="s">
        <v>1726</v>
      </c>
      <c r="D605" s="1" t="s">
        <v>1698</v>
      </c>
      <c r="F605" s="3">
        <f>IFERROR(__xludf.DUMMYFUNCTION("INT((DATE(INDEX(SPLIT(B605,""/| |:""),3), INDEX(SPLIT(B605,""/| |:""),2), INDEX(SPLIT(B605,""/| |:""),1)) + TIME(INDEX(SPLIT(B605,""/| |:""),4), INDEX(SPLIT(B605,""/| |:""),5), INDEX(SPLIT(B605,""/| |:""),6)) - DATE(1970,1,1)) * 86400)"),1.712612731E9)</f>
        <v>1712612731</v>
      </c>
      <c r="G605" s="3">
        <f>IFERROR(__xludf.DUMMYFUNCTION("INT((DATE(INDEX(SPLIT(C605,""/| |:""),3), INDEX(SPLIT(C605,""/| |:""),2), INDEX(SPLIT(C605,""/| |:""),1)) + TIME(INDEX(SPLIT(C605,""/| |:""),4), INDEX(SPLIT(C605,""/| |:""),5), INDEX(SPLIT(C605,""/| |:""),6)) - DATE(1970,1,1)) * 86400)"),1.716500731E9)</f>
        <v>1716500731</v>
      </c>
    </row>
    <row r="606">
      <c r="A606" s="1" t="s">
        <v>228</v>
      </c>
      <c r="B606" s="5">
        <v>45508.754699074074</v>
      </c>
      <c r="C606" s="1" t="s">
        <v>1727</v>
      </c>
      <c r="D606" s="1" t="s">
        <v>1698</v>
      </c>
      <c r="F606" s="3">
        <f>IFERROR(__xludf.DUMMYFUNCTION("INT((DATE(INDEX(SPLIT(B606,""/| |:""),3), INDEX(SPLIT(B606,""/| |:""),2), INDEX(SPLIT(B606,""/| |:""),1)) + TIME(INDEX(SPLIT(B606,""/| |:""),4), INDEX(SPLIT(B606,""/| |:""),5), INDEX(SPLIT(B606,""/| |:""),6)) - DATE(1970,1,1)) * 86400)"),1.712599606E9)</f>
        <v>1712599606</v>
      </c>
      <c r="G606" s="3">
        <f>IFERROR(__xludf.DUMMYFUNCTION("INT((DATE(INDEX(SPLIT(C606,""/| |:""),3), INDEX(SPLIT(C606,""/| |:""),2), INDEX(SPLIT(C606,""/| |:""),1)) + TIME(INDEX(SPLIT(C606,""/| |:""),4), INDEX(SPLIT(C606,""/| |:""),5), INDEX(SPLIT(C606,""/| |:""),6)) - DATE(1970,1,1)) * 86400)"),1.716487606E9)</f>
        <v>1716487606</v>
      </c>
    </row>
    <row r="607">
      <c r="A607" s="1" t="s">
        <v>229</v>
      </c>
      <c r="B607" s="5">
        <v>45508.72238425926</v>
      </c>
      <c r="C607" s="1" t="s">
        <v>1728</v>
      </c>
      <c r="D607" s="1" t="s">
        <v>1698</v>
      </c>
      <c r="F607" s="3">
        <f>IFERROR(__xludf.DUMMYFUNCTION("INT((DATE(INDEX(SPLIT(B607,""/| |:""),3), INDEX(SPLIT(B607,""/| |:""),2), INDEX(SPLIT(B607,""/| |:""),1)) + TIME(INDEX(SPLIT(B607,""/| |:""),4), INDEX(SPLIT(B607,""/| |:""),5), INDEX(SPLIT(B607,""/| |:""),6)) - DATE(1970,1,1)) * 86400)"),1.712596814E9)</f>
        <v>1712596814</v>
      </c>
      <c r="G607" s="3">
        <f>IFERROR(__xludf.DUMMYFUNCTION("INT((DATE(INDEX(SPLIT(C607,""/| |:""),3), INDEX(SPLIT(C607,""/| |:""),2), INDEX(SPLIT(C607,""/| |:""),1)) + TIME(INDEX(SPLIT(C607,""/| |:""),4), INDEX(SPLIT(C607,""/| |:""),5), INDEX(SPLIT(C607,""/| |:""),6)) - DATE(1970,1,1)) * 86400)"),1.716484814E9)</f>
        <v>1716484814</v>
      </c>
    </row>
    <row r="608">
      <c r="A608" s="1" t="s">
        <v>230</v>
      </c>
      <c r="B608" s="5">
        <v>45508.72157407407</v>
      </c>
      <c r="C608" s="1" t="s">
        <v>1729</v>
      </c>
      <c r="D608" s="1" t="s">
        <v>1698</v>
      </c>
      <c r="F608" s="3">
        <f>IFERROR(__xludf.DUMMYFUNCTION("INT((DATE(INDEX(SPLIT(B608,""/| |:""),3), INDEX(SPLIT(B608,""/| |:""),2), INDEX(SPLIT(B608,""/| |:""),1)) + TIME(INDEX(SPLIT(B608,""/| |:""),4), INDEX(SPLIT(B608,""/| |:""),5), INDEX(SPLIT(B608,""/| |:""),6)) - DATE(1970,1,1)) * 86400)"),1.712596744E9)</f>
        <v>1712596744</v>
      </c>
      <c r="G608" s="3">
        <f>IFERROR(__xludf.DUMMYFUNCTION("INT((DATE(INDEX(SPLIT(C608,""/| |:""),3), INDEX(SPLIT(C608,""/| |:""),2), INDEX(SPLIT(C608,""/| |:""),1)) + TIME(INDEX(SPLIT(C608,""/| |:""),4), INDEX(SPLIT(C608,""/| |:""),5), INDEX(SPLIT(C608,""/| |:""),6)) - DATE(1970,1,1)) * 86400)"),1.716484744E9)</f>
        <v>1716484744</v>
      </c>
    </row>
    <row r="609">
      <c r="A609" s="1" t="s">
        <v>231</v>
      </c>
      <c r="B609" s="5">
        <v>45508.71886574074</v>
      </c>
      <c r="C609" s="1" t="s">
        <v>1730</v>
      </c>
      <c r="D609" s="1" t="s">
        <v>1698</v>
      </c>
      <c r="F609" s="3">
        <f>IFERROR(__xludf.DUMMYFUNCTION("INT((DATE(INDEX(SPLIT(B609,""/| |:""),3), INDEX(SPLIT(B609,""/| |:""),2), INDEX(SPLIT(B609,""/| |:""),1)) + TIME(INDEX(SPLIT(B609,""/| |:""),4), INDEX(SPLIT(B609,""/| |:""),5), INDEX(SPLIT(B609,""/| |:""),6)) - DATE(1970,1,1)) * 86400)"),1.71259651E9)</f>
        <v>1712596510</v>
      </c>
      <c r="G609" s="3">
        <f>IFERROR(__xludf.DUMMYFUNCTION("INT((DATE(INDEX(SPLIT(C609,""/| |:""),3), INDEX(SPLIT(C609,""/| |:""),2), INDEX(SPLIT(C609,""/| |:""),1)) + TIME(INDEX(SPLIT(C609,""/| |:""),4), INDEX(SPLIT(C609,""/| |:""),5), INDEX(SPLIT(C609,""/| |:""),6)) - DATE(1970,1,1)) * 86400)"),1.71648451E9)</f>
        <v>1716484510</v>
      </c>
    </row>
    <row r="610">
      <c r="A610" s="1" t="s">
        <v>184</v>
      </c>
      <c r="B610" s="5">
        <v>45508.663090277776</v>
      </c>
      <c r="C610" s="1" t="s">
        <v>1731</v>
      </c>
      <c r="D610" s="1" t="s">
        <v>1698</v>
      </c>
      <c r="F610" s="3">
        <f>IFERROR(__xludf.DUMMYFUNCTION("INT((DATE(INDEX(SPLIT(B610,""/| |:""),3), INDEX(SPLIT(B610,""/| |:""),2), INDEX(SPLIT(B610,""/| |:""),1)) + TIME(INDEX(SPLIT(B610,""/| |:""),4), INDEX(SPLIT(B610,""/| |:""),5), INDEX(SPLIT(B610,""/| |:""),6)) - DATE(1970,1,1)) * 86400)"),1.712591691E9)</f>
        <v>1712591691</v>
      </c>
      <c r="G610" s="3">
        <f>IFERROR(__xludf.DUMMYFUNCTION("INT((DATE(INDEX(SPLIT(C610,""/| |:""),3), INDEX(SPLIT(C610,""/| |:""),2), INDEX(SPLIT(C610,""/| |:""),1)) + TIME(INDEX(SPLIT(C610,""/| |:""),4), INDEX(SPLIT(C610,""/| |:""),5), INDEX(SPLIT(C610,""/| |:""),6)) - DATE(1970,1,1)) * 86400)"),1.716479691E9)</f>
        <v>1716479691</v>
      </c>
    </row>
    <row r="611">
      <c r="A611" s="1" t="s">
        <v>180</v>
      </c>
      <c r="B611" s="5">
        <v>45508.66165509259</v>
      </c>
      <c r="C611" s="1" t="s">
        <v>1732</v>
      </c>
      <c r="D611" s="1" t="s">
        <v>1698</v>
      </c>
      <c r="F611" s="3">
        <f>IFERROR(__xludf.DUMMYFUNCTION("INT((DATE(INDEX(SPLIT(B611,""/| |:""),3), INDEX(SPLIT(B611,""/| |:""),2), INDEX(SPLIT(B611,""/| |:""),1)) + TIME(INDEX(SPLIT(B611,""/| |:""),4), INDEX(SPLIT(B611,""/| |:""),5), INDEX(SPLIT(B611,""/| |:""),6)) - DATE(1970,1,1)) * 86400)"),1.712591567E9)</f>
        <v>1712591567</v>
      </c>
      <c r="G611" s="3">
        <f>IFERROR(__xludf.DUMMYFUNCTION("INT((DATE(INDEX(SPLIT(C611,""/| |:""),3), INDEX(SPLIT(C611,""/| |:""),2), INDEX(SPLIT(C611,""/| |:""),1)) + TIME(INDEX(SPLIT(C611,""/| |:""),4), INDEX(SPLIT(C611,""/| |:""),5), INDEX(SPLIT(C611,""/| |:""),6)) - DATE(1970,1,1)) * 86400)"),1.716479567E9)</f>
        <v>1716479567</v>
      </c>
    </row>
    <row r="612">
      <c r="A612" s="1" t="s">
        <v>174</v>
      </c>
      <c r="B612" s="5">
        <v>45508.661412037036</v>
      </c>
      <c r="C612" s="1" t="s">
        <v>1733</v>
      </c>
      <c r="D612" s="1" t="s">
        <v>1698</v>
      </c>
      <c r="F612" s="3">
        <f>IFERROR(__xludf.DUMMYFUNCTION("INT((DATE(INDEX(SPLIT(B612,""/| |:""),3), INDEX(SPLIT(B612,""/| |:""),2), INDEX(SPLIT(B612,""/| |:""),1)) + TIME(INDEX(SPLIT(B612,""/| |:""),4), INDEX(SPLIT(B612,""/| |:""),5), INDEX(SPLIT(B612,""/| |:""),6)) - DATE(1970,1,1)) * 86400)"),1.712591546E9)</f>
        <v>1712591546</v>
      </c>
      <c r="G612" s="3">
        <f>IFERROR(__xludf.DUMMYFUNCTION("INT((DATE(INDEX(SPLIT(C612,""/| |:""),3), INDEX(SPLIT(C612,""/| |:""),2), INDEX(SPLIT(C612,""/| |:""),1)) + TIME(INDEX(SPLIT(C612,""/| |:""),4), INDEX(SPLIT(C612,""/| |:""),5), INDEX(SPLIT(C612,""/| |:""),6)) - DATE(1970,1,1)) * 86400)"),1.716479546E9)</f>
        <v>1716479546</v>
      </c>
    </row>
    <row r="613">
      <c r="A613" s="1" t="s">
        <v>181</v>
      </c>
      <c r="B613" s="5">
        <v>45508.63392361111</v>
      </c>
      <c r="C613" s="1" t="s">
        <v>1734</v>
      </c>
      <c r="D613" s="1" t="s">
        <v>1698</v>
      </c>
      <c r="F613" s="3">
        <f>IFERROR(__xludf.DUMMYFUNCTION("INT((DATE(INDEX(SPLIT(B613,""/| |:""),3), INDEX(SPLIT(B613,""/| |:""),2), INDEX(SPLIT(B613,""/| |:""),1)) + TIME(INDEX(SPLIT(B613,""/| |:""),4), INDEX(SPLIT(B613,""/| |:""),5), INDEX(SPLIT(B613,""/| |:""),6)) - DATE(1970,1,1)) * 86400)"),1.712589171E9)</f>
        <v>1712589171</v>
      </c>
      <c r="G613" s="3">
        <f>IFERROR(__xludf.DUMMYFUNCTION("INT((DATE(INDEX(SPLIT(C613,""/| |:""),3), INDEX(SPLIT(C613,""/| |:""),2), INDEX(SPLIT(C613,""/| |:""),1)) + TIME(INDEX(SPLIT(C613,""/| |:""),4), INDEX(SPLIT(C613,""/| |:""),5), INDEX(SPLIT(C613,""/| |:""),6)) - DATE(1970,1,1)) * 86400)"),1.716477171E9)</f>
        <v>1716477171</v>
      </c>
    </row>
    <row r="614">
      <c r="A614" s="1" t="s">
        <v>232</v>
      </c>
      <c r="B614" s="5">
        <v>45508.41027777778</v>
      </c>
      <c r="C614" s="1" t="s">
        <v>1735</v>
      </c>
      <c r="D614" s="1" t="s">
        <v>1698</v>
      </c>
      <c r="F614" s="3">
        <f>IFERROR(__xludf.DUMMYFUNCTION("INT((DATE(INDEX(SPLIT(B614,""/| |:""),3), INDEX(SPLIT(B614,""/| |:""),2), INDEX(SPLIT(B614,""/| |:""),1)) + TIME(INDEX(SPLIT(B614,""/| |:""),4), INDEX(SPLIT(B614,""/| |:""),5), INDEX(SPLIT(B614,""/| |:""),6)) - DATE(1970,1,1)) * 86400)"),1.712569848E9)</f>
        <v>1712569848</v>
      </c>
      <c r="G614" s="3">
        <f>IFERROR(__xludf.DUMMYFUNCTION("INT((DATE(INDEX(SPLIT(C614,""/| |:""),3), INDEX(SPLIT(C614,""/| |:""),2), INDEX(SPLIT(C614,""/| |:""),1)) + TIME(INDEX(SPLIT(C614,""/| |:""),4), INDEX(SPLIT(C614,""/| |:""),5), INDEX(SPLIT(C614,""/| |:""),6)) - DATE(1970,1,1)) * 86400)"),1.716457848E9)</f>
        <v>1716457848</v>
      </c>
    </row>
    <row r="615">
      <c r="A615" s="1" t="s">
        <v>233</v>
      </c>
      <c r="B615" s="5">
        <v>45508.40783564815</v>
      </c>
      <c r="C615" s="1" t="s">
        <v>1736</v>
      </c>
      <c r="D615" s="1" t="s">
        <v>1698</v>
      </c>
      <c r="F615" s="3">
        <f>IFERROR(__xludf.DUMMYFUNCTION("INT((DATE(INDEX(SPLIT(B615,""/| |:""),3), INDEX(SPLIT(B615,""/| |:""),2), INDEX(SPLIT(B615,""/| |:""),1)) + TIME(INDEX(SPLIT(B615,""/| |:""),4), INDEX(SPLIT(B615,""/| |:""),5), INDEX(SPLIT(B615,""/| |:""),6)) - DATE(1970,1,1)) * 86400)"),1.712569637E9)</f>
        <v>1712569637</v>
      </c>
      <c r="G615" s="3">
        <f>IFERROR(__xludf.DUMMYFUNCTION("INT((DATE(INDEX(SPLIT(C615,""/| |:""),3), INDEX(SPLIT(C615,""/| |:""),2), INDEX(SPLIT(C615,""/| |:""),1)) + TIME(INDEX(SPLIT(C615,""/| |:""),4), INDEX(SPLIT(C615,""/| |:""),5), INDEX(SPLIT(C615,""/| |:""),6)) - DATE(1970,1,1)) * 86400)"),1.716457637E9)</f>
        <v>1716457637</v>
      </c>
    </row>
    <row r="616">
      <c r="A616" s="1" t="s">
        <v>196</v>
      </c>
      <c r="B616" s="5" t="s">
        <v>1737</v>
      </c>
      <c r="C616" s="1" t="s">
        <v>1738</v>
      </c>
      <c r="D616" s="1" t="s">
        <v>1698</v>
      </c>
      <c r="F616" s="3">
        <f>IFERROR(__xludf.DUMMYFUNCTION("INT((DATE(INDEX(SPLIT(B616,""/| |:""),3), INDEX(SPLIT(B616,""/| |:""),2), INDEX(SPLIT(B616,""/| |:""),1)) + TIME(INDEX(SPLIT(B616,""/| |:""),4), INDEX(SPLIT(B616,""/| |:""),5), INDEX(SPLIT(B616,""/| |:""),6)) - DATE(1970,1,1)) * 86400)"),1.700078281E9)</f>
        <v>1700078281</v>
      </c>
      <c r="G616" s="3">
        <f>IFERROR(__xludf.DUMMYFUNCTION("INT((DATE(INDEX(SPLIT(C616,""/| |:""),3), INDEX(SPLIT(C616,""/| |:""),2), INDEX(SPLIT(C616,""/| |:""),1)) + TIME(INDEX(SPLIT(C616,""/| |:""),4), INDEX(SPLIT(C616,""/| |:""),5), INDEX(SPLIT(C616,""/| |:""),6)) - DATE(1970,1,1)) * 86400)"),1.703966281E9)</f>
        <v>1703966281</v>
      </c>
    </row>
    <row r="617">
      <c r="A617" s="1" t="s">
        <v>421</v>
      </c>
      <c r="B617" s="5">
        <v>44968.7084375</v>
      </c>
      <c r="C617" s="1" t="s">
        <v>1739</v>
      </c>
      <c r="D617" s="1" t="s">
        <v>1740</v>
      </c>
      <c r="F617" s="3">
        <f>IFERROR(__xludf.DUMMYFUNCTION("INT((DATE(INDEX(SPLIT(B617,""/| |:""),3), INDEX(SPLIT(B617,""/| |:""),2), INDEX(SPLIT(B617,""/| |:""),1)) + TIME(INDEX(SPLIT(B617,""/| |:""),4), INDEX(SPLIT(B617,""/| |:""),5), INDEX(SPLIT(B617,""/| |:""),6)) - DATE(1970,1,1)) * 86400)"),1.698944409E9)</f>
        <v>1698944409</v>
      </c>
      <c r="G617" s="3">
        <f>IFERROR(__xludf.DUMMYFUNCTION("INT((DATE(INDEX(SPLIT(C617,""/| |:""),3), INDEX(SPLIT(C617,""/| |:""),2), INDEX(SPLIT(C617,""/| |:""),1)) + TIME(INDEX(SPLIT(C617,""/| |:""),4), INDEX(SPLIT(C617,""/| |:""),5), INDEX(SPLIT(C617,""/| |:""),6)) - DATE(1970,1,1)) * 86400)"),1.702832409E9)</f>
        <v>1702832409</v>
      </c>
    </row>
    <row r="618">
      <c r="A618" s="1" t="s">
        <v>422</v>
      </c>
      <c r="B618" s="5">
        <v>45242.789664351854</v>
      </c>
      <c r="C618" s="1" t="s">
        <v>1741</v>
      </c>
      <c r="D618" s="1" t="s">
        <v>1742</v>
      </c>
      <c r="F618" s="3">
        <f>IFERROR(__xludf.DUMMYFUNCTION("INT((DATE(INDEX(SPLIT(B618,""/| |:""),3), INDEX(SPLIT(B618,""/| |:""),2), INDEX(SPLIT(B618,""/| |:""),1)) + TIME(INDEX(SPLIT(B618,""/| |:""),4), INDEX(SPLIT(B618,""/| |:""),5), INDEX(SPLIT(B618,""/| |:""),6)) - DATE(1970,1,1)) * 86400)"),1.702321027E9)</f>
        <v>1702321027</v>
      </c>
      <c r="G618" s="3">
        <f>IFERROR(__xludf.DUMMYFUNCTION("INT((DATE(INDEX(SPLIT(C618,""/| |:""),3), INDEX(SPLIT(C618,""/| |:""),2), INDEX(SPLIT(C618,""/| |:""),1)) + TIME(INDEX(SPLIT(C618,""/| |:""),4), INDEX(SPLIT(C618,""/| |:""),5), INDEX(SPLIT(C618,""/| |:""),6)) - DATE(1970,1,1)) * 86400)"),1.706209027E9)</f>
        <v>1706209027</v>
      </c>
    </row>
    <row r="619">
      <c r="A619" s="1" t="s">
        <v>435</v>
      </c>
      <c r="B619" s="5">
        <v>45352.99037037037</v>
      </c>
      <c r="C619" s="1" t="s">
        <v>1743</v>
      </c>
      <c r="D619" s="1" t="s">
        <v>1744</v>
      </c>
      <c r="F619" s="3">
        <f>IFERROR(__xludf.DUMMYFUNCTION("INT((DATE(INDEX(SPLIT(B619,""/| |:""),3), INDEX(SPLIT(B619,""/| |:""),2), INDEX(SPLIT(B619,""/| |:""),1)) + TIME(INDEX(SPLIT(B619,""/| |:""),4), INDEX(SPLIT(B619,""/| |:""),5), INDEX(SPLIT(B619,""/| |:""),6)) - DATE(1970,1,1)) * 86400)"),1.704325568E9)</f>
        <v>1704325568</v>
      </c>
      <c r="G619" s="3">
        <f>IFERROR(__xludf.DUMMYFUNCTION("INT((DATE(INDEX(SPLIT(C619,""/| |:""),3), INDEX(SPLIT(C619,""/| |:""),2), INDEX(SPLIT(C619,""/| |:""),1)) + TIME(INDEX(SPLIT(C619,""/| |:""),4), INDEX(SPLIT(C619,""/| |:""),5), INDEX(SPLIT(C619,""/| |:""),6)) - DATE(1970,1,1)) * 86400)"),1.708213568E9)</f>
        <v>1708213568</v>
      </c>
    </row>
    <row r="620">
      <c r="A620" s="1" t="s">
        <v>423</v>
      </c>
      <c r="B620" s="5" t="s">
        <v>1745</v>
      </c>
      <c r="C620" s="7">
        <v>45414.37186342593</v>
      </c>
      <c r="D620" s="1" t="s">
        <v>1744</v>
      </c>
      <c r="F620" s="3">
        <f>IFERROR(__xludf.DUMMYFUNCTION("INT((DATE(INDEX(SPLIT(B620,""/| |:""),3), INDEX(SPLIT(B620,""/| |:""),2), INDEX(SPLIT(B620,""/| |:""),1)) + TIME(INDEX(SPLIT(B620,""/| |:""),4), INDEX(SPLIT(B620,""/| |:""),5), INDEX(SPLIT(B620,""/| |:""),6)) - DATE(1970,1,1)) * 86400)"),1.703235329E9)</f>
        <v>1703235329</v>
      </c>
      <c r="G620" s="3">
        <f>IFERROR(__xludf.DUMMYFUNCTION("INT((DATE(INDEX(SPLIT(C620,""/| |:""),3), INDEX(SPLIT(C620,""/| |:""),2), INDEX(SPLIT(C620,""/| |:""),1)) + TIME(INDEX(SPLIT(C620,""/| |:""),4), INDEX(SPLIT(C620,""/| |:""),5), INDEX(SPLIT(C620,""/| |:""),6)) - DATE(1970,1,1)) * 86400)"),1.707123329E9)</f>
        <v>1707123329</v>
      </c>
    </row>
    <row r="621">
      <c r="A621" s="1" t="s">
        <v>436</v>
      </c>
      <c r="B621" s="5" t="s">
        <v>1746</v>
      </c>
      <c r="C621" s="7">
        <v>45353.82219907407</v>
      </c>
      <c r="D621" s="1" t="s">
        <v>1744</v>
      </c>
      <c r="F621" s="3">
        <f>IFERROR(__xludf.DUMMYFUNCTION("INT((DATE(INDEX(SPLIT(B621,""/| |:""),3), INDEX(SPLIT(B621,""/| |:""),2), INDEX(SPLIT(B621,""/| |:""),1)) + TIME(INDEX(SPLIT(B621,""/| |:""),4), INDEX(SPLIT(B621,""/| |:""),5), INDEX(SPLIT(B621,""/| |:""),6)) - DATE(1970,1,1)) * 86400)"),1.703101438E9)</f>
        <v>1703101438</v>
      </c>
      <c r="G621" s="3">
        <f>IFERROR(__xludf.DUMMYFUNCTION("INT((DATE(INDEX(SPLIT(C621,""/| |:""),3), INDEX(SPLIT(C621,""/| |:""),2), INDEX(SPLIT(C621,""/| |:""),1)) + TIME(INDEX(SPLIT(C621,""/| |:""),4), INDEX(SPLIT(C621,""/| |:""),5), INDEX(SPLIT(C621,""/| |:""),6)) - DATE(1970,1,1)) * 86400)"),1.706989438E9)</f>
        <v>1706989438</v>
      </c>
    </row>
    <row r="622">
      <c r="A622" s="1" t="s">
        <v>203</v>
      </c>
      <c r="B622" s="5" t="s">
        <v>1747</v>
      </c>
      <c r="C622" s="7">
        <v>45353.61709490741</v>
      </c>
      <c r="D622" s="1" t="s">
        <v>1744</v>
      </c>
      <c r="F622" s="3">
        <f>IFERROR(__xludf.DUMMYFUNCTION("INT((DATE(INDEX(SPLIT(B622,""/| |:""),3), INDEX(SPLIT(B622,""/| |:""),2), INDEX(SPLIT(B622,""/| |:""),1)) + TIME(INDEX(SPLIT(B622,""/| |:""),4), INDEX(SPLIT(B622,""/| |:""),5), INDEX(SPLIT(B622,""/| |:""),6)) - DATE(1970,1,1)) * 86400)"),1.703083717E9)</f>
        <v>1703083717</v>
      </c>
      <c r="G622" s="3">
        <f>IFERROR(__xludf.DUMMYFUNCTION("INT((DATE(INDEX(SPLIT(C622,""/| |:""),3), INDEX(SPLIT(C622,""/| |:""),2), INDEX(SPLIT(C622,""/| |:""),1)) + TIME(INDEX(SPLIT(C622,""/| |:""),4), INDEX(SPLIT(C622,""/| |:""),5), INDEX(SPLIT(C622,""/| |:""),6)) - DATE(1970,1,1)) * 86400)"),1.706971717E9)</f>
        <v>1706971717</v>
      </c>
    </row>
    <row r="623">
      <c r="A623" s="1" t="s">
        <v>424</v>
      </c>
      <c r="B623" s="5">
        <v>45242.609305555554</v>
      </c>
      <c r="C623" s="1" t="s">
        <v>1748</v>
      </c>
      <c r="D623" s="1" t="s">
        <v>1744</v>
      </c>
      <c r="F623" s="3">
        <f>IFERROR(__xludf.DUMMYFUNCTION("INT((DATE(INDEX(SPLIT(B623,""/| |:""),3), INDEX(SPLIT(B623,""/| |:""),2), INDEX(SPLIT(B623,""/| |:""),1)) + TIME(INDEX(SPLIT(B623,""/| |:""),4), INDEX(SPLIT(B623,""/| |:""),5), INDEX(SPLIT(B623,""/| |:""),6)) - DATE(1970,1,1)) * 86400)"),1.702305444E9)</f>
        <v>1702305444</v>
      </c>
      <c r="G623" s="3">
        <f>IFERROR(__xludf.DUMMYFUNCTION("INT((DATE(INDEX(SPLIT(C623,""/| |:""),3), INDEX(SPLIT(C623,""/| |:""),2), INDEX(SPLIT(C623,""/| |:""),1)) + TIME(INDEX(SPLIT(C623,""/| |:""),4), INDEX(SPLIT(C623,""/| |:""),5), INDEX(SPLIT(C623,""/| |:""),6)) - DATE(1970,1,1)) * 86400)"),1.706193444E9)</f>
        <v>1706193444</v>
      </c>
    </row>
    <row r="624">
      <c r="A624" s="1" t="s">
        <v>425</v>
      </c>
      <c r="B624" s="5">
        <v>45242.354537037034</v>
      </c>
      <c r="C624" s="1" t="s">
        <v>1749</v>
      </c>
      <c r="D624" s="1" t="s">
        <v>1744</v>
      </c>
      <c r="F624" s="3">
        <f>IFERROR(__xludf.DUMMYFUNCTION("INT((DATE(INDEX(SPLIT(B624,""/| |:""),3), INDEX(SPLIT(B624,""/| |:""),2), INDEX(SPLIT(B624,""/| |:""),1)) + TIME(INDEX(SPLIT(B624,""/| |:""),4), INDEX(SPLIT(B624,""/| |:""),5), INDEX(SPLIT(B624,""/| |:""),6)) - DATE(1970,1,1)) * 86400)"),1.702283432E9)</f>
        <v>1702283432</v>
      </c>
      <c r="G624" s="3">
        <f>IFERROR(__xludf.DUMMYFUNCTION("INT((DATE(INDEX(SPLIT(C624,""/| |:""),3), INDEX(SPLIT(C624,""/| |:""),2), INDEX(SPLIT(C624,""/| |:""),1)) + TIME(INDEX(SPLIT(C624,""/| |:""),4), INDEX(SPLIT(C624,""/| |:""),5), INDEX(SPLIT(C624,""/| |:""),6)) - DATE(1970,1,1)) * 86400)"),1.706171432E9)</f>
        <v>1706171432</v>
      </c>
    </row>
    <row r="625">
      <c r="A625" s="1" t="s">
        <v>426</v>
      </c>
      <c r="B625" s="5">
        <v>45150.646203703705</v>
      </c>
      <c r="C625" s="1" t="s">
        <v>1750</v>
      </c>
      <c r="D625" s="1" t="s">
        <v>1744</v>
      </c>
      <c r="F625" s="3">
        <f>IFERROR(__xludf.DUMMYFUNCTION("INT((DATE(INDEX(SPLIT(B625,""/| |:""),3), INDEX(SPLIT(B625,""/| |:""),2), INDEX(SPLIT(B625,""/| |:""),1)) + TIME(INDEX(SPLIT(B625,""/| |:""),4), INDEX(SPLIT(B625,""/| |:""),5), INDEX(SPLIT(B625,""/| |:""),6)) - DATE(1970,1,1)) * 86400)"),1.702049432E9)</f>
        <v>1702049432</v>
      </c>
      <c r="G625" s="3">
        <f>IFERROR(__xludf.DUMMYFUNCTION("INT((DATE(INDEX(SPLIT(C625,""/| |:""),3), INDEX(SPLIT(C625,""/| |:""),2), INDEX(SPLIT(C625,""/| |:""),1)) + TIME(INDEX(SPLIT(C625,""/| |:""),4), INDEX(SPLIT(C625,""/| |:""),5), INDEX(SPLIT(C625,""/| |:""),6)) - DATE(1970,1,1)) * 86400)"),1.705937432E9)</f>
        <v>1705937432</v>
      </c>
    </row>
    <row r="626">
      <c r="A626" s="1" t="s">
        <v>427</v>
      </c>
      <c r="B626" s="5">
        <v>45119.48221064815</v>
      </c>
      <c r="C626" s="1" t="s">
        <v>1751</v>
      </c>
      <c r="D626" s="1" t="s">
        <v>1744</v>
      </c>
      <c r="F626" s="3">
        <f>IFERROR(__xludf.DUMMYFUNCTION("INT((DATE(INDEX(SPLIT(B626,""/| |:""),3), INDEX(SPLIT(B626,""/| |:""),2), INDEX(SPLIT(B626,""/| |:""),1)) + TIME(INDEX(SPLIT(B626,""/| |:""),4), INDEX(SPLIT(B626,""/| |:""),5), INDEX(SPLIT(B626,""/| |:""),6)) - DATE(1970,1,1)) * 86400)"),1.701948863E9)</f>
        <v>1701948863</v>
      </c>
      <c r="G626" s="3">
        <f>IFERROR(__xludf.DUMMYFUNCTION("INT((DATE(INDEX(SPLIT(C626,""/| |:""),3), INDEX(SPLIT(C626,""/| |:""),2), INDEX(SPLIT(C626,""/| |:""),1)) + TIME(INDEX(SPLIT(C626,""/| |:""),4), INDEX(SPLIT(C626,""/| |:""),5), INDEX(SPLIT(C626,""/| |:""),6)) - DATE(1970,1,1)) * 86400)"),1.705836863E9)</f>
        <v>1705836863</v>
      </c>
    </row>
    <row r="627">
      <c r="A627" s="1" t="s">
        <v>428</v>
      </c>
      <c r="B627" s="5">
        <v>45089.919444444444</v>
      </c>
      <c r="C627" s="1" t="s">
        <v>1752</v>
      </c>
      <c r="D627" s="1" t="s">
        <v>1744</v>
      </c>
      <c r="F627" s="3">
        <f>IFERROR(__xludf.DUMMYFUNCTION("INT((DATE(INDEX(SPLIT(B627,""/| |:""),3), INDEX(SPLIT(B627,""/| |:""),2), INDEX(SPLIT(B627,""/| |:""),1)) + TIME(INDEX(SPLIT(B627,""/| |:""),4), INDEX(SPLIT(B627,""/| |:""),5), INDEX(SPLIT(B627,""/| |:""),6)) - DATE(1970,1,1)) * 86400)"),1.70190024E9)</f>
        <v>1701900240</v>
      </c>
      <c r="G627" s="3">
        <f>IFERROR(__xludf.DUMMYFUNCTION("INT((DATE(INDEX(SPLIT(C627,""/| |:""),3), INDEX(SPLIT(C627,""/| |:""),2), INDEX(SPLIT(C627,""/| |:""),1)) + TIME(INDEX(SPLIT(C627,""/| |:""),4), INDEX(SPLIT(C627,""/| |:""),5), INDEX(SPLIT(C627,""/| |:""),6)) - DATE(1970,1,1)) * 86400)"),1.70578824E9)</f>
        <v>1705788240</v>
      </c>
    </row>
    <row r="628">
      <c r="A628" s="1" t="s">
        <v>429</v>
      </c>
      <c r="B628" s="5">
        <v>45058.67773148148</v>
      </c>
      <c r="C628" s="1" t="s">
        <v>1753</v>
      </c>
      <c r="D628" s="1" t="s">
        <v>1744</v>
      </c>
      <c r="F628" s="3">
        <f>IFERROR(__xludf.DUMMYFUNCTION("INT((DATE(INDEX(SPLIT(B628,""/| |:""),3), INDEX(SPLIT(B628,""/| |:""),2), INDEX(SPLIT(B628,""/| |:""),1)) + TIME(INDEX(SPLIT(B628,""/| |:""),4), INDEX(SPLIT(B628,""/| |:""),5), INDEX(SPLIT(B628,""/| |:""),6)) - DATE(1970,1,1)) * 86400)"),1.701792956E9)</f>
        <v>1701792956</v>
      </c>
      <c r="G628" s="3">
        <f>IFERROR(__xludf.DUMMYFUNCTION("INT((DATE(INDEX(SPLIT(C628,""/| |:""),3), INDEX(SPLIT(C628,""/| |:""),2), INDEX(SPLIT(C628,""/| |:""),1)) + TIME(INDEX(SPLIT(C628,""/| |:""),4), INDEX(SPLIT(C628,""/| |:""),5), INDEX(SPLIT(C628,""/| |:""),6)) - DATE(1970,1,1)) * 86400)"),1.705680956E9)</f>
        <v>1705680956</v>
      </c>
    </row>
    <row r="629">
      <c r="A629" s="1" t="s">
        <v>430</v>
      </c>
      <c r="B629" s="5">
        <v>45058.537141203706</v>
      </c>
      <c r="C629" s="1" t="s">
        <v>1754</v>
      </c>
      <c r="D629" s="1" t="s">
        <v>1744</v>
      </c>
      <c r="F629" s="3">
        <f>IFERROR(__xludf.DUMMYFUNCTION("INT((DATE(INDEX(SPLIT(B629,""/| |:""),3), INDEX(SPLIT(B629,""/| |:""),2), INDEX(SPLIT(B629,""/| |:""),1)) + TIME(INDEX(SPLIT(B629,""/| |:""),4), INDEX(SPLIT(B629,""/| |:""),5), INDEX(SPLIT(B629,""/| |:""),6)) - DATE(1970,1,1)) * 86400)"),1.701780809E9)</f>
        <v>1701780809</v>
      </c>
      <c r="G629" s="3">
        <f>IFERROR(__xludf.DUMMYFUNCTION("INT((DATE(INDEX(SPLIT(C629,""/| |:""),3), INDEX(SPLIT(C629,""/| |:""),2), INDEX(SPLIT(C629,""/| |:""),1)) + TIME(INDEX(SPLIT(C629,""/| |:""),4), INDEX(SPLIT(C629,""/| |:""),5), INDEX(SPLIT(C629,""/| |:""),6)) - DATE(1970,1,1)) * 86400)"),1.705668809E9)</f>
        <v>1705668809</v>
      </c>
    </row>
    <row r="630">
      <c r="A630" s="1" t="s">
        <v>431</v>
      </c>
      <c r="B630" s="5">
        <v>45028.94699074074</v>
      </c>
      <c r="C630" s="1" t="s">
        <v>1755</v>
      </c>
      <c r="D630" s="1" t="s">
        <v>1744</v>
      </c>
      <c r="F630" s="3">
        <f>IFERROR(__xludf.DUMMYFUNCTION("INT((DATE(INDEX(SPLIT(B630,""/| |:""),3), INDEX(SPLIT(B630,""/| |:""),2), INDEX(SPLIT(B630,""/| |:""),1)) + TIME(INDEX(SPLIT(B630,""/| |:""),4), INDEX(SPLIT(B630,""/| |:""),5), INDEX(SPLIT(B630,""/| |:""),6)) - DATE(1970,1,1)) * 86400)"),1.70172982E9)</f>
        <v>1701729820</v>
      </c>
      <c r="G630" s="3">
        <f>IFERROR(__xludf.DUMMYFUNCTION("INT((DATE(INDEX(SPLIT(C630,""/| |:""),3), INDEX(SPLIT(C630,""/| |:""),2), INDEX(SPLIT(C630,""/| |:""),1)) + TIME(INDEX(SPLIT(C630,""/| |:""),4), INDEX(SPLIT(C630,""/| |:""),5), INDEX(SPLIT(C630,""/| |:""),6)) - DATE(1970,1,1)) * 86400)"),1.70561782E9)</f>
        <v>1705617820</v>
      </c>
    </row>
    <row r="631">
      <c r="A631" s="1" t="s">
        <v>432</v>
      </c>
      <c r="B631" s="5" t="s">
        <v>1756</v>
      </c>
      <c r="C631" s="7">
        <v>45474.58084490741</v>
      </c>
      <c r="D631" s="1" t="s">
        <v>1744</v>
      </c>
      <c r="F631" s="3">
        <f>IFERROR(__xludf.DUMMYFUNCTION("INT((DATE(INDEX(SPLIT(B631,""/| |:""),3), INDEX(SPLIT(B631,""/| |:""),2), INDEX(SPLIT(B631,""/| |:""),1)) + TIME(INDEX(SPLIT(B631,""/| |:""),4), INDEX(SPLIT(B631,""/| |:""),5), INDEX(SPLIT(B631,""/| |:""),6)) - DATE(1970,1,1)) * 86400)"),1.700747785E9)</f>
        <v>1700747785</v>
      </c>
      <c r="G631" s="3">
        <f>IFERROR(__xludf.DUMMYFUNCTION("INT((DATE(INDEX(SPLIT(C631,""/| |:""),3), INDEX(SPLIT(C631,""/| |:""),2), INDEX(SPLIT(C631,""/| |:""),1)) + TIME(INDEX(SPLIT(C631,""/| |:""),4), INDEX(SPLIT(C631,""/| |:""),5), INDEX(SPLIT(C631,""/| |:""),6)) - DATE(1970,1,1)) * 86400)"),1.704635785E9)</f>
        <v>1704635785</v>
      </c>
    </row>
    <row r="632">
      <c r="A632" s="1" t="s">
        <v>433</v>
      </c>
      <c r="B632" s="5" t="s">
        <v>1757</v>
      </c>
      <c r="C632" s="7">
        <v>45413.77141203704</v>
      </c>
      <c r="D632" s="1" t="s">
        <v>1744</v>
      </c>
      <c r="F632" s="3">
        <f>IFERROR(__xludf.DUMMYFUNCTION("INT((DATE(INDEX(SPLIT(B632,""/| |:""),3), INDEX(SPLIT(B632,""/| |:""),2), INDEX(SPLIT(B632,""/| |:""),1)) + TIME(INDEX(SPLIT(B632,""/| |:""),4), INDEX(SPLIT(B632,""/| |:""),5), INDEX(SPLIT(B632,""/| |:""),6)) - DATE(1970,1,1)) * 86400)"),1.70059145E9)</f>
        <v>1700591450</v>
      </c>
      <c r="G632" s="3">
        <f>IFERROR(__xludf.DUMMYFUNCTION("INT((DATE(INDEX(SPLIT(C632,""/| |:""),3), INDEX(SPLIT(C632,""/| |:""),2), INDEX(SPLIT(C632,""/| |:""),1)) + TIME(INDEX(SPLIT(C632,""/| |:""),4), INDEX(SPLIT(C632,""/| |:""),5), INDEX(SPLIT(C632,""/| |:""),6)) - DATE(1970,1,1)) * 86400)"),1.70447945E9)</f>
        <v>1704479450</v>
      </c>
    </row>
    <row r="633">
      <c r="A633" s="1" t="s">
        <v>195</v>
      </c>
      <c r="B633" s="5">
        <v>44968.627233796295</v>
      </c>
      <c r="C633" s="1" t="s">
        <v>1758</v>
      </c>
      <c r="D633" s="1" t="s">
        <v>1744</v>
      </c>
      <c r="F633" s="3">
        <f>IFERROR(__xludf.DUMMYFUNCTION("INT((DATE(INDEX(SPLIT(B633,""/| |:""),3), INDEX(SPLIT(B633,""/| |:""),2), INDEX(SPLIT(B633,""/| |:""),1)) + TIME(INDEX(SPLIT(B633,""/| |:""),4), INDEX(SPLIT(B633,""/| |:""),5), INDEX(SPLIT(B633,""/| |:""),6)) - DATE(1970,1,1)) * 86400)"),1.698937393E9)</f>
        <v>1698937393</v>
      </c>
      <c r="G633" s="3">
        <f>IFERROR(__xludf.DUMMYFUNCTION("INT((DATE(INDEX(SPLIT(C633,""/| |:""),3), INDEX(SPLIT(C633,""/| |:""),2), INDEX(SPLIT(C633,""/| |:""),1)) + TIME(INDEX(SPLIT(C633,""/| |:""),4), INDEX(SPLIT(C633,""/| |:""),5), INDEX(SPLIT(C633,""/| |:""),6)) - DATE(1970,1,1)) * 86400)"),1.702825393E9)</f>
        <v>1702825393</v>
      </c>
    </row>
    <row r="634">
      <c r="A634" s="1" t="s">
        <v>210</v>
      </c>
      <c r="B634" s="5">
        <v>44968.55924768518</v>
      </c>
      <c r="C634" s="1" t="s">
        <v>1759</v>
      </c>
      <c r="D634" s="1" t="s">
        <v>1744</v>
      </c>
      <c r="F634" s="3">
        <f>IFERROR(__xludf.DUMMYFUNCTION("INT((DATE(INDEX(SPLIT(B634,""/| |:""),3), INDEX(SPLIT(B634,""/| |:""),2), INDEX(SPLIT(B634,""/| |:""),1)) + TIME(INDEX(SPLIT(B634,""/| |:""),4), INDEX(SPLIT(B634,""/| |:""),5), INDEX(SPLIT(B634,""/| |:""),6)) - DATE(1970,1,1)) * 86400)"),1.698931519E9)</f>
        <v>1698931519</v>
      </c>
      <c r="G634" s="3">
        <f>IFERROR(__xludf.DUMMYFUNCTION("INT((DATE(INDEX(SPLIT(C634,""/| |:""),3), INDEX(SPLIT(C634,""/| |:""),2), INDEX(SPLIT(C634,""/| |:""),1)) + TIME(INDEX(SPLIT(C634,""/| |:""),4), INDEX(SPLIT(C634,""/| |:""),5), INDEX(SPLIT(C634,""/| |:""),6)) - DATE(1970,1,1)) * 86400)"),1.702819519E9)</f>
        <v>1702819519</v>
      </c>
    </row>
    <row r="635">
      <c r="A635" s="1" t="s">
        <v>434</v>
      </c>
      <c r="B635" s="5" t="s">
        <v>1760</v>
      </c>
      <c r="C635" s="7">
        <v>45058.97493055555</v>
      </c>
      <c r="D635" s="1" t="s">
        <v>1744</v>
      </c>
      <c r="F635" s="3">
        <f>IFERROR(__xludf.DUMMYFUNCTION("INT((DATE(INDEX(SPLIT(B635,""/| |:""),3), INDEX(SPLIT(B635,""/| |:""),2), INDEX(SPLIT(B635,""/| |:""),1)) + TIME(INDEX(SPLIT(B635,""/| |:""),4), INDEX(SPLIT(B635,""/| |:""),5), INDEX(SPLIT(B635,""/| |:""),6)) - DATE(1970,1,1)) * 86400)"),1.697930634E9)</f>
        <v>1697930634</v>
      </c>
      <c r="G635" s="3">
        <f>IFERROR(__xludf.DUMMYFUNCTION("INT((DATE(INDEX(SPLIT(C635,""/| |:""),3), INDEX(SPLIT(C635,""/| |:""),2), INDEX(SPLIT(C635,""/| |:""),1)) + TIME(INDEX(SPLIT(C635,""/| |:""),4), INDEX(SPLIT(C635,""/| |:""),5), INDEX(SPLIT(C635,""/| |:""),6)) - DATE(1970,1,1)) * 86400)"),1.701818634E9)</f>
        <v>1701818634</v>
      </c>
    </row>
    <row r="636">
      <c r="A636" s="1" t="s">
        <v>437</v>
      </c>
      <c r="B636" s="5" t="s">
        <v>1761</v>
      </c>
      <c r="C636" s="1" t="s">
        <v>1762</v>
      </c>
      <c r="D636" s="1" t="s">
        <v>1763</v>
      </c>
      <c r="F636" s="3">
        <f>IFERROR(__xludf.DUMMYFUNCTION("INT((DATE(INDEX(SPLIT(B636,""/| |:""),3), INDEX(SPLIT(B636,""/| |:""),2), INDEX(SPLIT(B636,""/| |:""),1)) + TIME(INDEX(SPLIT(B636,""/| |:""),4), INDEX(SPLIT(B636,""/| |:""),5), INDEX(SPLIT(B636,""/| |:""),6)) - DATE(1970,1,1)) * 86400)"),1.703275757E9)</f>
        <v>1703275757</v>
      </c>
      <c r="G636" s="3">
        <f>IFERROR(__xludf.DUMMYFUNCTION("INT((DATE(INDEX(SPLIT(C636,""/| |:""),3), INDEX(SPLIT(C636,""/| |:""),2), INDEX(SPLIT(C636,""/| |:""),1)) + TIME(INDEX(SPLIT(C636,""/| |:""),4), INDEX(SPLIT(C636,""/| |:""),5), INDEX(SPLIT(C636,""/| |:""),6)) - DATE(1970,1,1)) * 86400)"),1.705867757E9)</f>
        <v>1705867757</v>
      </c>
    </row>
    <row r="637">
      <c r="A637" s="1" t="s">
        <v>438</v>
      </c>
      <c r="B637" s="5" t="s">
        <v>1764</v>
      </c>
      <c r="C637" s="1" t="s">
        <v>1765</v>
      </c>
      <c r="D637" s="1" t="s">
        <v>1763</v>
      </c>
      <c r="F637" s="3">
        <f>IFERROR(__xludf.DUMMYFUNCTION("INT((DATE(INDEX(SPLIT(B637,""/| |:""),3), INDEX(SPLIT(B637,""/| |:""),2), INDEX(SPLIT(B637,""/| |:""),1)) + TIME(INDEX(SPLIT(B637,""/| |:""),4), INDEX(SPLIT(B637,""/| |:""),5), INDEX(SPLIT(B637,""/| |:""),6)) - DATE(1970,1,1)) * 86400)"),1.702583683E9)</f>
        <v>1702583683</v>
      </c>
      <c r="G637" s="3">
        <f>IFERROR(__xludf.DUMMYFUNCTION("INT((DATE(INDEX(SPLIT(C637,""/| |:""),3), INDEX(SPLIT(C637,""/| |:""),2), INDEX(SPLIT(C637,""/| |:""),1)) + TIME(INDEX(SPLIT(C637,""/| |:""),4), INDEX(SPLIT(C637,""/| |:""),5), INDEX(SPLIT(C637,""/| |:""),6)) - DATE(1970,1,1)) * 86400)"),1.705175683E9)</f>
        <v>1705175683</v>
      </c>
    </row>
    <row r="638">
      <c r="A638" s="1" t="s">
        <v>425</v>
      </c>
      <c r="B638" s="5">
        <v>45242.9793287037</v>
      </c>
      <c r="C638" s="7">
        <v>45566.9793287037</v>
      </c>
      <c r="D638" s="1" t="s">
        <v>1763</v>
      </c>
      <c r="F638" s="3">
        <f>IFERROR(__xludf.DUMMYFUNCTION("INT((DATE(INDEX(SPLIT(B638,""/| |:""),3), INDEX(SPLIT(B638,""/| |:""),2), INDEX(SPLIT(B638,""/| |:""),1)) + TIME(INDEX(SPLIT(B638,""/| |:""),4), INDEX(SPLIT(B638,""/| |:""),5), INDEX(SPLIT(B638,""/| |:""),6)) - DATE(1970,1,1)) * 86400)"),1.702337414E9)</f>
        <v>1702337414</v>
      </c>
      <c r="G638" s="3">
        <f>IFERROR(__xludf.DUMMYFUNCTION("INT((DATE(INDEX(SPLIT(C638,""/| |:""),3), INDEX(SPLIT(C638,""/| |:""),2), INDEX(SPLIT(C638,""/| |:""),1)) + TIME(INDEX(SPLIT(C638,""/| |:""),4), INDEX(SPLIT(C638,""/| |:""),5), INDEX(SPLIT(C638,""/| |:""),6)) - DATE(1970,1,1)) * 86400)"),1.704929414E9)</f>
        <v>1704929414</v>
      </c>
    </row>
    <row r="639">
      <c r="A639" s="1" t="s">
        <v>439</v>
      </c>
      <c r="B639" s="5">
        <v>45323.77752314815</v>
      </c>
      <c r="C639" s="7">
        <v>45293.77752314815</v>
      </c>
      <c r="D639" s="1" t="s">
        <v>1766</v>
      </c>
      <c r="F639" s="3">
        <f>IFERROR(__xludf.DUMMYFUNCTION("INT((DATE(INDEX(SPLIT(B639,""/| |:""),3), INDEX(SPLIT(B639,""/| |:""),2), INDEX(SPLIT(B639,""/| |:""),1)) + TIME(INDEX(SPLIT(B639,""/| |:""),4), INDEX(SPLIT(B639,""/| |:""),5), INDEX(SPLIT(B639,""/| |:""),6)) - DATE(1970,1,1)) * 86400)"),1.704220778E9)</f>
        <v>1704220778</v>
      </c>
      <c r="G639" s="3">
        <f>IFERROR(__xludf.DUMMYFUNCTION("INT((DATE(INDEX(SPLIT(C639,""/| |:""),3), INDEX(SPLIT(C639,""/| |:""),2), INDEX(SPLIT(C639,""/| |:""),1)) + TIME(INDEX(SPLIT(C639,""/| |:""),4), INDEX(SPLIT(C639,""/| |:""),5), INDEX(SPLIT(C639,""/| |:""),6)) - DATE(1970,1,1)) * 86400)"),1.706812778E9)</f>
        <v>1706812778</v>
      </c>
    </row>
    <row r="640">
      <c r="A640" s="1" t="s">
        <v>203</v>
      </c>
      <c r="B640" s="5" t="s">
        <v>1767</v>
      </c>
      <c r="C640" s="1" t="s">
        <v>1768</v>
      </c>
      <c r="D640" s="1" t="s">
        <v>1766</v>
      </c>
      <c r="F640" s="3">
        <f>IFERROR(__xludf.DUMMYFUNCTION("INT((DATE(INDEX(SPLIT(B640,""/| |:""),3), INDEX(SPLIT(B640,""/| |:""),2), INDEX(SPLIT(B640,""/| |:""),1)) + TIME(INDEX(SPLIT(B640,""/| |:""),4), INDEX(SPLIT(B640,""/| |:""),5), INDEX(SPLIT(B640,""/| |:""),6)) - DATE(1970,1,1)) * 86400)"),1.703847837E9)</f>
        <v>1703847837</v>
      </c>
      <c r="G640" s="3">
        <f>IFERROR(__xludf.DUMMYFUNCTION("INT((DATE(INDEX(SPLIT(C640,""/| |:""),3), INDEX(SPLIT(C640,""/| |:""),2), INDEX(SPLIT(C640,""/| |:""),1)) + TIME(INDEX(SPLIT(C640,""/| |:""),4), INDEX(SPLIT(C640,""/| |:""),5), INDEX(SPLIT(C640,""/| |:""),6)) - DATE(1970,1,1)) * 86400)"),1.706439837E9)</f>
        <v>1706439837</v>
      </c>
    </row>
    <row r="641">
      <c r="A641" s="1" t="s">
        <v>440</v>
      </c>
      <c r="B641" s="5" t="s">
        <v>1769</v>
      </c>
      <c r="C641" s="1" t="s">
        <v>1770</v>
      </c>
      <c r="D641" s="1" t="s">
        <v>1766</v>
      </c>
      <c r="F641" s="3">
        <f>IFERROR(__xludf.DUMMYFUNCTION("INT((DATE(INDEX(SPLIT(B641,""/| |:""),3), INDEX(SPLIT(B641,""/| |:""),2), INDEX(SPLIT(B641,""/| |:""),1)) + TIME(INDEX(SPLIT(B641,""/| |:""),4), INDEX(SPLIT(B641,""/| |:""),5), INDEX(SPLIT(B641,""/| |:""),6)) - DATE(1970,1,1)) * 86400)"),1.703841991E9)</f>
        <v>1703841991</v>
      </c>
      <c r="G641" s="3">
        <f>IFERROR(__xludf.DUMMYFUNCTION("INT((DATE(INDEX(SPLIT(C641,""/| |:""),3), INDEX(SPLIT(C641,""/| |:""),2), INDEX(SPLIT(C641,""/| |:""),1)) + TIME(INDEX(SPLIT(C641,""/| |:""),4), INDEX(SPLIT(C641,""/| |:""),5), INDEX(SPLIT(C641,""/| |:""),6)) - DATE(1970,1,1)) * 86400)"),1.706433991E9)</f>
        <v>1706433991</v>
      </c>
    </row>
    <row r="642">
      <c r="A642" s="1" t="s">
        <v>441</v>
      </c>
      <c r="B642" s="5" t="s">
        <v>1771</v>
      </c>
      <c r="C642" s="1" t="s">
        <v>1772</v>
      </c>
      <c r="D642" s="1" t="s">
        <v>1766</v>
      </c>
      <c r="F642" s="3">
        <f>IFERROR(__xludf.DUMMYFUNCTION("INT((DATE(INDEX(SPLIT(B642,""/| |:""),3), INDEX(SPLIT(B642,""/| |:""),2), INDEX(SPLIT(B642,""/| |:""),1)) + TIME(INDEX(SPLIT(B642,""/| |:""),4), INDEX(SPLIT(B642,""/| |:""),5), INDEX(SPLIT(B642,""/| |:""),6)) - DATE(1970,1,1)) * 86400)"),1.703344876E9)</f>
        <v>1703344876</v>
      </c>
      <c r="G642" s="3">
        <f>IFERROR(__xludf.DUMMYFUNCTION("INT((DATE(INDEX(SPLIT(C642,""/| |:""),3), INDEX(SPLIT(C642,""/| |:""),2), INDEX(SPLIT(C642,""/| |:""),1)) + TIME(INDEX(SPLIT(C642,""/| |:""),4), INDEX(SPLIT(C642,""/| |:""),5), INDEX(SPLIT(C642,""/| |:""),6)) - DATE(1970,1,1)) * 86400)"),1.705936876E9)</f>
        <v>1705936876</v>
      </c>
    </row>
    <row r="643">
      <c r="A643" s="1" t="s">
        <v>205</v>
      </c>
      <c r="B643" s="5" t="s">
        <v>1773</v>
      </c>
      <c r="C643" s="1" t="s">
        <v>1774</v>
      </c>
      <c r="D643" s="1" t="s">
        <v>1766</v>
      </c>
      <c r="F643" s="3">
        <f>IFERROR(__xludf.DUMMYFUNCTION("INT((DATE(INDEX(SPLIT(B643,""/| |:""),3), INDEX(SPLIT(B643,""/| |:""),2), INDEX(SPLIT(B643,""/| |:""),1)) + TIME(INDEX(SPLIT(B643,""/| |:""),4), INDEX(SPLIT(B643,""/| |:""),5), INDEX(SPLIT(B643,""/| |:""),6)) - DATE(1970,1,1)) * 86400)"),1.702985848E9)</f>
        <v>1702985848</v>
      </c>
      <c r="G643" s="3">
        <f>IFERROR(__xludf.DUMMYFUNCTION("INT((DATE(INDEX(SPLIT(C643,""/| |:""),3), INDEX(SPLIT(C643,""/| |:""),2), INDEX(SPLIT(C643,""/| |:""),1)) + TIME(INDEX(SPLIT(C643,""/| |:""),4), INDEX(SPLIT(C643,""/| |:""),5), INDEX(SPLIT(C643,""/| |:""),6)) - DATE(1970,1,1)) * 86400)"),1.705577848E9)</f>
        <v>1705577848</v>
      </c>
    </row>
    <row r="644">
      <c r="A644" s="1" t="s">
        <v>171</v>
      </c>
      <c r="B644" s="5">
        <v>45242.44429398148</v>
      </c>
      <c r="C644" s="7">
        <v>45566.44429398148</v>
      </c>
      <c r="D644" s="1" t="s">
        <v>1766</v>
      </c>
      <c r="F644" s="3">
        <f>IFERROR(__xludf.DUMMYFUNCTION("INT((DATE(INDEX(SPLIT(B644,""/| |:""),3), INDEX(SPLIT(B644,""/| |:""),2), INDEX(SPLIT(B644,""/| |:""),1)) + TIME(INDEX(SPLIT(B644,""/| |:""),4), INDEX(SPLIT(B644,""/| |:""),5), INDEX(SPLIT(B644,""/| |:""),6)) - DATE(1970,1,1)) * 86400)"),1.702291187E9)</f>
        <v>1702291187</v>
      </c>
      <c r="G644" s="3">
        <f>IFERROR(__xludf.DUMMYFUNCTION("INT((DATE(INDEX(SPLIT(C644,""/| |:""),3), INDEX(SPLIT(C644,""/| |:""),2), INDEX(SPLIT(C644,""/| |:""),1)) + TIME(INDEX(SPLIT(C644,""/| |:""),4), INDEX(SPLIT(C644,""/| |:""),5), INDEX(SPLIT(C644,""/| |:""),6)) - DATE(1970,1,1)) * 86400)"),1.704883187E9)</f>
        <v>1704883187</v>
      </c>
    </row>
    <row r="645">
      <c r="A645" s="1" t="s">
        <v>442</v>
      </c>
      <c r="B645" s="5">
        <v>45118.40347222222</v>
      </c>
      <c r="C645" s="7">
        <v>45119.40347222222</v>
      </c>
      <c r="D645" s="1" t="s">
        <v>1766</v>
      </c>
      <c r="F645" s="3">
        <f>IFERROR(__xludf.DUMMYFUNCTION("INT((DATE(INDEX(SPLIT(B645,""/| |:""),3), INDEX(SPLIT(B645,""/| |:""),2), INDEX(SPLIT(B645,""/| |:""),1)) + TIME(INDEX(SPLIT(B645,""/| |:""),4), INDEX(SPLIT(B645,""/| |:""),5), INDEX(SPLIT(B645,""/| |:""),6)) - DATE(1970,1,1)) * 86400)"),1.69935006E9)</f>
        <v>1699350060</v>
      </c>
      <c r="G645" s="3">
        <f>IFERROR(__xludf.DUMMYFUNCTION("INT((DATE(INDEX(SPLIT(C645,""/| |:""),3), INDEX(SPLIT(C645,""/| |:""),2), INDEX(SPLIT(C645,""/| |:""),1)) + TIME(INDEX(SPLIT(C645,""/| |:""),4), INDEX(SPLIT(C645,""/| |:""),5), INDEX(SPLIT(C645,""/| |:""),6)) - DATE(1970,1,1)) * 86400)"),1.70194206E9)</f>
        <v>1701942060</v>
      </c>
    </row>
    <row r="646">
      <c r="A646" s="1" t="s">
        <v>201</v>
      </c>
      <c r="B646" s="5">
        <v>44996.42408564815</v>
      </c>
      <c r="C646" s="7">
        <v>44997.42408564815</v>
      </c>
      <c r="D646" s="1" t="s">
        <v>1766</v>
      </c>
      <c r="F646" s="3">
        <f>IFERROR(__xludf.DUMMYFUNCTION("INT((DATE(INDEX(SPLIT(B646,""/| |:""),3), INDEX(SPLIT(B646,""/| |:""),2), INDEX(SPLIT(B646,""/| |:""),1)) + TIME(INDEX(SPLIT(B646,""/| |:""),4), INDEX(SPLIT(B646,""/| |:""),5), INDEX(SPLIT(B646,""/| |:""),6)) - DATE(1970,1,1)) * 86400)"),1.699006241E9)</f>
        <v>1699006241</v>
      </c>
      <c r="G646" s="3">
        <f>IFERROR(__xludf.DUMMYFUNCTION("INT((DATE(INDEX(SPLIT(C646,""/| |:""),3), INDEX(SPLIT(C646,""/| |:""),2), INDEX(SPLIT(C646,""/| |:""),1)) + TIME(INDEX(SPLIT(C646,""/| |:""),4), INDEX(SPLIT(C646,""/| |:""),5), INDEX(SPLIT(C646,""/| |:""),6)) - DATE(1970,1,1)) * 86400)"),1.701598241E9)</f>
        <v>1701598241</v>
      </c>
    </row>
    <row r="647">
      <c r="A647" s="1" t="s">
        <v>193</v>
      </c>
      <c r="B647" s="5" t="s">
        <v>1775</v>
      </c>
      <c r="C647" s="1" t="s">
        <v>1776</v>
      </c>
      <c r="D647" s="1" t="s">
        <v>1777</v>
      </c>
      <c r="F647" s="3">
        <f>IFERROR(__xludf.DUMMYFUNCTION("INT((DATE(INDEX(SPLIT(B647,""/| |:""),3), INDEX(SPLIT(B647,""/| |:""),2), INDEX(SPLIT(B647,""/| |:""),1)) + TIME(INDEX(SPLIT(B647,""/| |:""),4), INDEX(SPLIT(B647,""/| |:""),5), INDEX(SPLIT(B647,""/| |:""),6)) - DATE(1970,1,1)) * 86400)"),1.702843835E9)</f>
        <v>1702843835</v>
      </c>
      <c r="G647" s="3">
        <f>IFERROR(__xludf.DUMMYFUNCTION("INT((DATE(INDEX(SPLIT(C647,""/| |:""),3), INDEX(SPLIT(C647,""/| |:""),2), INDEX(SPLIT(C647,""/| |:""),1)) + TIME(INDEX(SPLIT(C647,""/| |:""),4), INDEX(SPLIT(C647,""/| |:""),5), INDEX(SPLIT(C647,""/| |:""),6)) - DATE(1970,1,1)) * 86400)"),1.705435835E9)</f>
        <v>1705435835</v>
      </c>
    </row>
    <row r="648">
      <c r="A648" s="1" t="s">
        <v>211</v>
      </c>
      <c r="B648" s="5" t="s">
        <v>1778</v>
      </c>
      <c r="C648" s="1" t="s">
        <v>1779</v>
      </c>
      <c r="D648" s="1" t="s">
        <v>1777</v>
      </c>
      <c r="F648" s="3">
        <f>IFERROR(__xludf.DUMMYFUNCTION("INT((DATE(INDEX(SPLIT(B648,""/| |:""),3), INDEX(SPLIT(B648,""/| |:""),2), INDEX(SPLIT(B648,""/| |:""),1)) + TIME(INDEX(SPLIT(B648,""/| |:""),4), INDEX(SPLIT(B648,""/| |:""),5), INDEX(SPLIT(B648,""/| |:""),6)) - DATE(1970,1,1)) * 86400)"),1.700077248E9)</f>
        <v>1700077248</v>
      </c>
      <c r="G648" s="3">
        <f>IFERROR(__xludf.DUMMYFUNCTION("INT((DATE(INDEX(SPLIT(C648,""/| |:""),3), INDEX(SPLIT(C648,""/| |:""),2), INDEX(SPLIT(C648,""/| |:""),1)) + TIME(INDEX(SPLIT(C648,""/| |:""),4), INDEX(SPLIT(C648,""/| |:""),5), INDEX(SPLIT(C648,""/| |:""),6)) - DATE(1970,1,1)) * 86400)"),1.702669248E9)</f>
        <v>1702669248</v>
      </c>
    </row>
    <row r="649">
      <c r="A649" s="1" t="s">
        <v>210</v>
      </c>
      <c r="B649" s="5">
        <v>45352.678252314814</v>
      </c>
      <c r="C649" s="7">
        <v>45324.678252314814</v>
      </c>
      <c r="D649" s="1" t="s">
        <v>1780</v>
      </c>
      <c r="F649" s="3">
        <f>IFERROR(__xludf.DUMMYFUNCTION("INT((DATE(INDEX(SPLIT(B649,""/| |:""),3), INDEX(SPLIT(B649,""/| |:""),2), INDEX(SPLIT(B649,""/| |:""),1)) + TIME(INDEX(SPLIT(B649,""/| |:""),4), INDEX(SPLIT(B649,""/| |:""),5), INDEX(SPLIT(B649,""/| |:""),6)) - DATE(1970,1,1)) * 86400)"),1.704298601E9)</f>
        <v>1704298601</v>
      </c>
      <c r="G649" s="3">
        <f>IFERROR(__xludf.DUMMYFUNCTION("INT((DATE(INDEX(SPLIT(C649,""/| |:""),3), INDEX(SPLIT(C649,""/| |:""),2), INDEX(SPLIT(C649,""/| |:""),1)) + TIME(INDEX(SPLIT(C649,""/| |:""),4), INDEX(SPLIT(C649,""/| |:""),5), INDEX(SPLIT(C649,""/| |:""),6)) - DATE(1970,1,1)) * 86400)"),1.706890601E9)</f>
        <v>1706890601</v>
      </c>
    </row>
    <row r="650">
      <c r="A650" s="1" t="s">
        <v>443</v>
      </c>
      <c r="B650" s="5" t="s">
        <v>1781</v>
      </c>
      <c r="C650" s="1" t="s">
        <v>1782</v>
      </c>
      <c r="D650" s="1" t="s">
        <v>1783</v>
      </c>
      <c r="F650" s="3">
        <f>IFERROR(__xludf.DUMMYFUNCTION("INT((DATE(INDEX(SPLIT(B650,""/| |:""),3), INDEX(SPLIT(B650,""/| |:""),2), INDEX(SPLIT(B650,""/| |:""),1)) + TIME(INDEX(SPLIT(B650,""/| |:""),4), INDEX(SPLIT(B650,""/| |:""),5), INDEX(SPLIT(B650,""/| |:""),6)) - DATE(1970,1,1)) * 86400)"),1.703256354E9)</f>
        <v>1703256354</v>
      </c>
      <c r="G650" s="3">
        <f>IFERROR(__xludf.DUMMYFUNCTION("INT((DATE(INDEX(SPLIT(C650,""/| |:""),3), INDEX(SPLIT(C650,""/| |:""),2), INDEX(SPLIT(C650,""/| |:""),1)) + TIME(INDEX(SPLIT(C650,""/| |:""),4), INDEX(SPLIT(C650,""/| |:""),5), INDEX(SPLIT(C650,""/| |:""),6)) - DATE(1970,1,1)) * 86400)"),1.705848354E9)</f>
        <v>1705848354</v>
      </c>
    </row>
    <row r="651">
      <c r="A651" s="1" t="s">
        <v>444</v>
      </c>
      <c r="B651" s="5">
        <v>45058.66693287037</v>
      </c>
      <c r="C651" s="7">
        <v>45383.66693287037</v>
      </c>
      <c r="D651" s="1" t="s">
        <v>1783</v>
      </c>
      <c r="F651" s="3">
        <f>IFERROR(__xludf.DUMMYFUNCTION("INT((DATE(INDEX(SPLIT(B651,""/| |:""),3), INDEX(SPLIT(B651,""/| |:""),2), INDEX(SPLIT(B651,""/| |:""),1)) + TIME(INDEX(SPLIT(B651,""/| |:""),4), INDEX(SPLIT(B651,""/| |:""),5), INDEX(SPLIT(B651,""/| |:""),6)) - DATE(1970,1,1)) * 86400)"),1.701792023E9)</f>
        <v>1701792023</v>
      </c>
      <c r="G651" s="3">
        <f>IFERROR(__xludf.DUMMYFUNCTION("INT((DATE(INDEX(SPLIT(C651,""/| |:""),3), INDEX(SPLIT(C651,""/| |:""),2), INDEX(SPLIT(C651,""/| |:""),1)) + TIME(INDEX(SPLIT(C651,""/| |:""),4), INDEX(SPLIT(C651,""/| |:""),5), INDEX(SPLIT(C651,""/| |:""),6)) - DATE(1970,1,1)) * 86400)"),1.704384023E9)</f>
        <v>1704384023</v>
      </c>
    </row>
    <row r="652">
      <c r="A652" s="1" t="s">
        <v>445</v>
      </c>
      <c r="B652" s="5">
        <v>45058.65820601852</v>
      </c>
      <c r="C652" s="7">
        <v>45383.65820601852</v>
      </c>
      <c r="D652" s="1" t="s">
        <v>1783</v>
      </c>
      <c r="F652" s="3">
        <f>IFERROR(__xludf.DUMMYFUNCTION("INT((DATE(INDEX(SPLIT(B652,""/| |:""),3), INDEX(SPLIT(B652,""/| |:""),2), INDEX(SPLIT(B652,""/| |:""),1)) + TIME(INDEX(SPLIT(B652,""/| |:""),4), INDEX(SPLIT(B652,""/| |:""),5), INDEX(SPLIT(B652,""/| |:""),6)) - DATE(1970,1,1)) * 86400)"),1.701791269E9)</f>
        <v>1701791269</v>
      </c>
      <c r="G652" s="3">
        <f>IFERROR(__xludf.DUMMYFUNCTION("INT((DATE(INDEX(SPLIT(C652,""/| |:""),3), INDEX(SPLIT(C652,""/| |:""),2), INDEX(SPLIT(C652,""/| |:""),1)) + TIME(INDEX(SPLIT(C652,""/| |:""),4), INDEX(SPLIT(C652,""/| |:""),5), INDEX(SPLIT(C652,""/| |:""),6)) - DATE(1970,1,1)) * 86400)"),1.704383269E9)</f>
        <v>1704383269</v>
      </c>
    </row>
    <row r="653">
      <c r="A653" s="1" t="s">
        <v>210</v>
      </c>
      <c r="B653" s="5" t="s">
        <v>1784</v>
      </c>
      <c r="C653" s="1" t="s">
        <v>1785</v>
      </c>
      <c r="D653" s="1" t="s">
        <v>1786</v>
      </c>
      <c r="F653" s="3">
        <f>IFERROR(__xludf.DUMMYFUNCTION("INT((DATE(INDEX(SPLIT(B653,""/| |:""),3), INDEX(SPLIT(B653,""/| |:""),2), INDEX(SPLIT(B653,""/| |:""),1)) + TIME(INDEX(SPLIT(B653,""/| |:""),4), INDEX(SPLIT(B653,""/| |:""),5), INDEX(SPLIT(B653,""/| |:""),6)) - DATE(1970,1,1)) * 86400)"),1.7039132E9)</f>
        <v>1703913200</v>
      </c>
      <c r="G653" s="3">
        <f>IFERROR(__xludf.DUMMYFUNCTION("INT((DATE(INDEX(SPLIT(C653,""/| |:""),3), INDEX(SPLIT(C653,""/| |:""),2), INDEX(SPLIT(C653,""/| |:""),1)) + TIME(INDEX(SPLIT(C653,""/| |:""),4), INDEX(SPLIT(C653,""/| |:""),5), INDEX(SPLIT(C653,""/| |:""),6)) - DATE(1970,1,1)) * 86400)"),1.7065052E9)</f>
        <v>1706505200</v>
      </c>
    </row>
    <row r="654">
      <c r="A654" s="1" t="s">
        <v>192</v>
      </c>
      <c r="B654" s="5">
        <v>45383.63693287037</v>
      </c>
      <c r="C654" s="7">
        <v>45353.63693287037</v>
      </c>
      <c r="D654" s="1" t="s">
        <v>1787</v>
      </c>
      <c r="F654" s="3">
        <f>IFERROR(__xludf.DUMMYFUNCTION("INT((DATE(INDEX(SPLIT(B654,""/| |:""),3), INDEX(SPLIT(B654,""/| |:""),2), INDEX(SPLIT(B654,""/| |:""),1)) + TIME(INDEX(SPLIT(B654,""/| |:""),4), INDEX(SPLIT(B654,""/| |:""),5), INDEX(SPLIT(B654,""/| |:""),6)) - DATE(1970,1,1)) * 86400)"),1.704381431E9)</f>
        <v>1704381431</v>
      </c>
      <c r="G654" s="3">
        <f>IFERROR(__xludf.DUMMYFUNCTION("INT((DATE(INDEX(SPLIT(C654,""/| |:""),3), INDEX(SPLIT(C654,""/| |:""),2), INDEX(SPLIT(C654,""/| |:""),1)) + TIME(INDEX(SPLIT(C654,""/| |:""),4), INDEX(SPLIT(C654,""/| |:""),5), INDEX(SPLIT(C654,""/| |:""),6)) - DATE(1970,1,1)) * 86400)"),1.706973431E9)</f>
        <v>1706973431</v>
      </c>
    </row>
    <row r="655">
      <c r="A655" s="1" t="s">
        <v>459</v>
      </c>
      <c r="B655" s="5">
        <v>45352.64946759259</v>
      </c>
      <c r="C655" s="7">
        <v>45324.64946759259</v>
      </c>
      <c r="D655" s="1" t="s">
        <v>1787</v>
      </c>
      <c r="F655" s="3">
        <f>IFERROR(__xludf.DUMMYFUNCTION("INT((DATE(INDEX(SPLIT(B655,""/| |:""),3), INDEX(SPLIT(B655,""/| |:""),2), INDEX(SPLIT(B655,""/| |:""),1)) + TIME(INDEX(SPLIT(B655,""/| |:""),4), INDEX(SPLIT(B655,""/| |:""),5), INDEX(SPLIT(B655,""/| |:""),6)) - DATE(1970,1,1)) * 86400)"),1.704296114E9)</f>
        <v>1704296114</v>
      </c>
      <c r="G655" s="3">
        <f>IFERROR(__xludf.DUMMYFUNCTION("INT((DATE(INDEX(SPLIT(C655,""/| |:""),3), INDEX(SPLIT(C655,""/| |:""),2), INDEX(SPLIT(C655,""/| |:""),1)) + TIME(INDEX(SPLIT(C655,""/| |:""),4), INDEX(SPLIT(C655,""/| |:""),5), INDEX(SPLIT(C655,""/| |:""),6)) - DATE(1970,1,1)) * 86400)"),1.706888114E9)</f>
        <v>1706888114</v>
      </c>
    </row>
    <row r="656">
      <c r="A656" s="1" t="s">
        <v>196</v>
      </c>
      <c r="B656" s="5" t="s">
        <v>1788</v>
      </c>
      <c r="C656" s="1" t="s">
        <v>1789</v>
      </c>
      <c r="D656" s="1" t="s">
        <v>1787</v>
      </c>
      <c r="F656" s="3">
        <f>IFERROR(__xludf.DUMMYFUNCTION("INT((DATE(INDEX(SPLIT(B656,""/| |:""),3), INDEX(SPLIT(B656,""/| |:""),2), INDEX(SPLIT(B656,""/| |:""),1)) + TIME(INDEX(SPLIT(B656,""/| |:""),4), INDEX(SPLIT(B656,""/| |:""),5), INDEX(SPLIT(B656,""/| |:""),6)) - DATE(1970,1,1)) * 86400)"),1.703504342E9)</f>
        <v>1703504342</v>
      </c>
      <c r="G656" s="3">
        <f>IFERROR(__xludf.DUMMYFUNCTION("INT((DATE(INDEX(SPLIT(C656,""/| |:""),3), INDEX(SPLIT(C656,""/| |:""),2), INDEX(SPLIT(C656,""/| |:""),1)) + TIME(INDEX(SPLIT(C656,""/| |:""),4), INDEX(SPLIT(C656,""/| |:""),5), INDEX(SPLIT(C656,""/| |:""),6)) - DATE(1970,1,1)) * 86400)"),1.706096342E9)</f>
        <v>1706096342</v>
      </c>
    </row>
    <row r="657">
      <c r="A657" s="1" t="s">
        <v>460</v>
      </c>
      <c r="B657" s="5" t="s">
        <v>1790</v>
      </c>
      <c r="C657" s="1" t="s">
        <v>1791</v>
      </c>
      <c r="D657" s="1" t="s">
        <v>1787</v>
      </c>
      <c r="F657" s="3">
        <f>IFERROR(__xludf.DUMMYFUNCTION("INT((DATE(INDEX(SPLIT(B657,""/| |:""),3), INDEX(SPLIT(B657,""/| |:""),2), INDEX(SPLIT(B657,""/| |:""),1)) + TIME(INDEX(SPLIT(B657,""/| |:""),4), INDEX(SPLIT(B657,""/| |:""),5), INDEX(SPLIT(B657,""/| |:""),6)) - DATE(1970,1,1)) * 86400)"),1.703067853E9)</f>
        <v>1703067853</v>
      </c>
      <c r="G657" s="3">
        <f>IFERROR(__xludf.DUMMYFUNCTION("INT((DATE(INDEX(SPLIT(C657,""/| |:""),3), INDEX(SPLIT(C657,""/| |:""),2), INDEX(SPLIT(C657,""/| |:""),1)) + TIME(INDEX(SPLIT(C657,""/| |:""),4), INDEX(SPLIT(C657,""/| |:""),5), INDEX(SPLIT(C657,""/| |:""),6)) - DATE(1970,1,1)) * 86400)"),1.705659853E9)</f>
        <v>1705659853</v>
      </c>
    </row>
    <row r="658">
      <c r="A658" s="1" t="s">
        <v>461</v>
      </c>
      <c r="B658" s="5" t="s">
        <v>1792</v>
      </c>
      <c r="C658" s="1" t="s">
        <v>1793</v>
      </c>
      <c r="D658" s="1" t="s">
        <v>1787</v>
      </c>
      <c r="F658" s="3">
        <f>IFERROR(__xludf.DUMMYFUNCTION("INT((DATE(INDEX(SPLIT(B658,""/| |:""),3), INDEX(SPLIT(B658,""/| |:""),2), INDEX(SPLIT(B658,""/| |:""),1)) + TIME(INDEX(SPLIT(B658,""/| |:""),4), INDEX(SPLIT(B658,""/| |:""),5), INDEX(SPLIT(B658,""/| |:""),6)) - DATE(1970,1,1)) * 86400)"),1.702982518E9)</f>
        <v>1702982518</v>
      </c>
      <c r="G658" s="3">
        <f>IFERROR(__xludf.DUMMYFUNCTION("INT((DATE(INDEX(SPLIT(C658,""/| |:""),3), INDEX(SPLIT(C658,""/| |:""),2), INDEX(SPLIT(C658,""/| |:""),1)) + TIME(INDEX(SPLIT(C658,""/| |:""),4), INDEX(SPLIT(C658,""/| |:""),5), INDEX(SPLIT(C658,""/| |:""),6)) - DATE(1970,1,1)) * 86400)"),1.705574518E9)</f>
        <v>1705574518</v>
      </c>
    </row>
    <row r="659">
      <c r="A659" s="1" t="s">
        <v>193</v>
      </c>
      <c r="B659" s="5" t="s">
        <v>1794</v>
      </c>
      <c r="C659" s="1" t="s">
        <v>1795</v>
      </c>
      <c r="D659" s="1" t="s">
        <v>1787</v>
      </c>
      <c r="F659" s="3">
        <f>IFERROR(__xludf.DUMMYFUNCTION("INT((DATE(INDEX(SPLIT(B659,""/| |:""),3), INDEX(SPLIT(B659,""/| |:""),2), INDEX(SPLIT(B659,""/| |:""),1)) + TIME(INDEX(SPLIT(B659,""/| |:""),4), INDEX(SPLIT(B659,""/| |:""),5), INDEX(SPLIT(B659,""/| |:""),6)) - DATE(1970,1,1)) * 86400)"),1.702843313E9)</f>
        <v>1702843313</v>
      </c>
      <c r="G659" s="3">
        <f>IFERROR(__xludf.DUMMYFUNCTION("INT((DATE(INDEX(SPLIT(C659,""/| |:""),3), INDEX(SPLIT(C659,""/| |:""),2), INDEX(SPLIT(C659,""/| |:""),1)) + TIME(INDEX(SPLIT(C659,""/| |:""),4), INDEX(SPLIT(C659,""/| |:""),5), INDEX(SPLIT(C659,""/| |:""),6)) - DATE(1970,1,1)) * 86400)"),1.705435313E9)</f>
        <v>1705435313</v>
      </c>
    </row>
    <row r="660">
      <c r="A660" s="1" t="s">
        <v>193</v>
      </c>
      <c r="B660" s="5" t="s">
        <v>1796</v>
      </c>
      <c r="C660" s="1" t="s">
        <v>1797</v>
      </c>
      <c r="D660" s="1" t="s">
        <v>1787</v>
      </c>
      <c r="F660" s="3">
        <f>IFERROR(__xludf.DUMMYFUNCTION("INT((DATE(INDEX(SPLIT(B660,""/| |:""),3), INDEX(SPLIT(B660,""/| |:""),2), INDEX(SPLIT(B660,""/| |:""),1)) + TIME(INDEX(SPLIT(B660,""/| |:""),4), INDEX(SPLIT(B660,""/| |:""),5), INDEX(SPLIT(B660,""/| |:""),6)) - DATE(1970,1,1)) * 86400)"),1.702640461E9)</f>
        <v>1702640461</v>
      </c>
      <c r="G660" s="3">
        <f>IFERROR(__xludf.DUMMYFUNCTION("INT((DATE(INDEX(SPLIT(C660,""/| |:""),3), INDEX(SPLIT(C660,""/| |:""),2), INDEX(SPLIT(C660,""/| |:""),1)) + TIME(INDEX(SPLIT(C660,""/| |:""),4), INDEX(SPLIT(C660,""/| |:""),5), INDEX(SPLIT(C660,""/| |:""),6)) - DATE(1970,1,1)) * 86400)"),1.705232461E9)</f>
        <v>1705232461</v>
      </c>
    </row>
    <row r="661">
      <c r="A661" s="1" t="s">
        <v>446</v>
      </c>
      <c r="B661" s="5" t="s">
        <v>1798</v>
      </c>
      <c r="C661" s="1" t="s">
        <v>1799</v>
      </c>
      <c r="D661" s="1" t="s">
        <v>1787</v>
      </c>
      <c r="F661" s="3">
        <f>IFERROR(__xludf.DUMMYFUNCTION("INT((DATE(INDEX(SPLIT(B661,""/| |:""),3), INDEX(SPLIT(B661,""/| |:""),2), INDEX(SPLIT(B661,""/| |:""),1)) + TIME(INDEX(SPLIT(B661,""/| |:""),4), INDEX(SPLIT(B661,""/| |:""),5), INDEX(SPLIT(B661,""/| |:""),6)) - DATE(1970,1,1)) * 86400)"),1.702585458E9)</f>
        <v>1702585458</v>
      </c>
      <c r="G661" s="3">
        <f>IFERROR(__xludf.DUMMYFUNCTION("INT((DATE(INDEX(SPLIT(C661,""/| |:""),3), INDEX(SPLIT(C661,""/| |:""),2), INDEX(SPLIT(C661,""/| |:""),1)) + TIME(INDEX(SPLIT(C661,""/| |:""),4), INDEX(SPLIT(C661,""/| |:""),5), INDEX(SPLIT(C661,""/| |:""),6)) - DATE(1970,1,1)) * 86400)"),1.705177458E9)</f>
        <v>1705177458</v>
      </c>
    </row>
    <row r="662">
      <c r="A662" s="1" t="s">
        <v>438</v>
      </c>
      <c r="B662" s="5" t="s">
        <v>1800</v>
      </c>
      <c r="C662" s="1" t="s">
        <v>1801</v>
      </c>
      <c r="D662" s="1" t="s">
        <v>1787</v>
      </c>
      <c r="F662" s="3">
        <f>IFERROR(__xludf.DUMMYFUNCTION("INT((DATE(INDEX(SPLIT(B662,""/| |:""),3), INDEX(SPLIT(B662,""/| |:""),2), INDEX(SPLIT(B662,""/| |:""),1)) + TIME(INDEX(SPLIT(B662,""/| |:""),4), INDEX(SPLIT(B662,""/| |:""),5), INDEX(SPLIT(B662,""/| |:""),6)) - DATE(1970,1,1)) * 86400)"),1.702580656E9)</f>
        <v>1702580656</v>
      </c>
      <c r="G662" s="3">
        <f>IFERROR(__xludf.DUMMYFUNCTION("INT((DATE(INDEX(SPLIT(C662,""/| |:""),3), INDEX(SPLIT(C662,""/| |:""),2), INDEX(SPLIT(C662,""/| |:""),1)) + TIME(INDEX(SPLIT(C662,""/| |:""),4), INDEX(SPLIT(C662,""/| |:""),5), INDEX(SPLIT(C662,""/| |:""),6)) - DATE(1970,1,1)) * 86400)"),1.705172656E9)</f>
        <v>1705172656</v>
      </c>
    </row>
    <row r="663">
      <c r="A663" s="1" t="s">
        <v>447</v>
      </c>
      <c r="B663" s="5">
        <v>45242.55364583333</v>
      </c>
      <c r="C663" s="7">
        <v>45566.55364583333</v>
      </c>
      <c r="D663" s="1" t="s">
        <v>1787</v>
      </c>
      <c r="F663" s="3">
        <f>IFERROR(__xludf.DUMMYFUNCTION("INT((DATE(INDEX(SPLIT(B663,""/| |:""),3), INDEX(SPLIT(B663,""/| |:""),2), INDEX(SPLIT(B663,""/| |:""),1)) + TIME(INDEX(SPLIT(B663,""/| |:""),4), INDEX(SPLIT(B663,""/| |:""),5), INDEX(SPLIT(B663,""/| |:""),6)) - DATE(1970,1,1)) * 86400)"),1.702300635E9)</f>
        <v>1702300635</v>
      </c>
      <c r="G663" s="3">
        <f>IFERROR(__xludf.DUMMYFUNCTION("INT((DATE(INDEX(SPLIT(C663,""/| |:""),3), INDEX(SPLIT(C663,""/| |:""),2), INDEX(SPLIT(C663,""/| |:""),1)) + TIME(INDEX(SPLIT(C663,""/| |:""),4), INDEX(SPLIT(C663,""/| |:""),5), INDEX(SPLIT(C663,""/| |:""),6)) - DATE(1970,1,1)) * 86400)"),1.704892635E9)</f>
        <v>1704892635</v>
      </c>
    </row>
    <row r="664">
      <c r="A664" s="1" t="s">
        <v>425</v>
      </c>
      <c r="B664" s="5">
        <v>45242.34690972222</v>
      </c>
      <c r="C664" s="7">
        <v>45566.34690972222</v>
      </c>
      <c r="D664" s="1" t="s">
        <v>1787</v>
      </c>
      <c r="F664" s="3">
        <f>IFERROR(__xludf.DUMMYFUNCTION("INT((DATE(INDEX(SPLIT(B664,""/| |:""),3), INDEX(SPLIT(B664,""/| |:""),2), INDEX(SPLIT(B664,""/| |:""),1)) + TIME(INDEX(SPLIT(B664,""/| |:""),4), INDEX(SPLIT(B664,""/| |:""),5), INDEX(SPLIT(B664,""/| |:""),6)) - DATE(1970,1,1)) * 86400)"),1.702282773E9)</f>
        <v>1702282773</v>
      </c>
      <c r="G664" s="3">
        <f>IFERROR(__xludf.DUMMYFUNCTION("INT((DATE(INDEX(SPLIT(C664,""/| |:""),3), INDEX(SPLIT(C664,""/| |:""),2), INDEX(SPLIT(C664,""/| |:""),1)) + TIME(INDEX(SPLIT(C664,""/| |:""),4), INDEX(SPLIT(C664,""/| |:""),5), INDEX(SPLIT(C664,""/| |:""),6)) - DATE(1970,1,1)) * 86400)"),1.704874773E9)</f>
        <v>1704874773</v>
      </c>
    </row>
    <row r="665">
      <c r="A665" s="1" t="s">
        <v>448</v>
      </c>
      <c r="B665" s="5">
        <v>45058.48946759259</v>
      </c>
      <c r="C665" s="7">
        <v>45383.48946759259</v>
      </c>
      <c r="D665" s="1" t="s">
        <v>1787</v>
      </c>
      <c r="F665" s="3">
        <f>IFERROR(__xludf.DUMMYFUNCTION("INT((DATE(INDEX(SPLIT(B665,""/| |:""),3), INDEX(SPLIT(B665,""/| |:""),2), INDEX(SPLIT(B665,""/| |:""),1)) + TIME(INDEX(SPLIT(B665,""/| |:""),4), INDEX(SPLIT(B665,""/| |:""),5), INDEX(SPLIT(B665,""/| |:""),6)) - DATE(1970,1,1)) * 86400)"),1.70177669E9)</f>
        <v>1701776690</v>
      </c>
      <c r="G665" s="3">
        <f>IFERROR(__xludf.DUMMYFUNCTION("INT((DATE(INDEX(SPLIT(C665,""/| |:""),3), INDEX(SPLIT(C665,""/| |:""),2), INDEX(SPLIT(C665,""/| |:""),1)) + TIME(INDEX(SPLIT(C665,""/| |:""),4), INDEX(SPLIT(C665,""/| |:""),5), INDEX(SPLIT(C665,""/| |:""),6)) - DATE(1970,1,1)) * 86400)"),1.70436869E9)</f>
        <v>1704368690</v>
      </c>
    </row>
    <row r="666">
      <c r="A666" s="1" t="s">
        <v>449</v>
      </c>
      <c r="B666" s="5">
        <v>45028.36280092593</v>
      </c>
      <c r="C666" s="7">
        <v>45352.36280092593</v>
      </c>
      <c r="D666" s="1" t="s">
        <v>1787</v>
      </c>
      <c r="F666" s="3">
        <f>IFERROR(__xludf.DUMMYFUNCTION("INT((DATE(INDEX(SPLIT(B666,""/| |:""),3), INDEX(SPLIT(B666,""/| |:""),2), INDEX(SPLIT(B666,""/| |:""),1)) + TIME(INDEX(SPLIT(B666,""/| |:""),4), INDEX(SPLIT(B666,""/| |:""),5), INDEX(SPLIT(B666,""/| |:""),6)) - DATE(1970,1,1)) * 86400)"),1.701679346E9)</f>
        <v>1701679346</v>
      </c>
      <c r="G666" s="3">
        <f>IFERROR(__xludf.DUMMYFUNCTION("INT((DATE(INDEX(SPLIT(C666,""/| |:""),3), INDEX(SPLIT(C666,""/| |:""),2), INDEX(SPLIT(C666,""/| |:""),1)) + TIME(INDEX(SPLIT(C666,""/| |:""),4), INDEX(SPLIT(C666,""/| |:""),5), INDEX(SPLIT(C666,""/| |:""),6)) - DATE(1970,1,1)) * 86400)"),1.704271346E9)</f>
        <v>1704271346</v>
      </c>
    </row>
    <row r="667">
      <c r="A667" s="1" t="s">
        <v>450</v>
      </c>
      <c r="B667" s="5" t="s">
        <v>1802</v>
      </c>
      <c r="C667" s="1" t="s">
        <v>1803</v>
      </c>
      <c r="D667" s="1" t="s">
        <v>1787</v>
      </c>
      <c r="F667" s="3">
        <f>IFERROR(__xludf.DUMMYFUNCTION("INT((DATE(INDEX(SPLIT(B667,""/| |:""),3), INDEX(SPLIT(B667,""/| |:""),2), INDEX(SPLIT(B667,""/| |:""),1)) + TIME(INDEX(SPLIT(B667,""/| |:""),4), INDEX(SPLIT(B667,""/| |:""),5), INDEX(SPLIT(B667,""/| |:""),6)) - DATE(1970,1,1)) * 86400)"),1.701189801E9)</f>
        <v>1701189801</v>
      </c>
      <c r="G667" s="3">
        <f>IFERROR(__xludf.DUMMYFUNCTION("INT((DATE(INDEX(SPLIT(C667,""/| |:""),3), INDEX(SPLIT(C667,""/| |:""),2), INDEX(SPLIT(C667,""/| |:""),1)) + TIME(INDEX(SPLIT(C667,""/| |:""),4), INDEX(SPLIT(C667,""/| |:""),5), INDEX(SPLIT(C667,""/| |:""),6)) - DATE(1970,1,1)) * 86400)"),1.703781801E9)</f>
        <v>1703781801</v>
      </c>
    </row>
    <row r="668">
      <c r="A668" s="1" t="s">
        <v>191</v>
      </c>
      <c r="B668" s="5" t="s">
        <v>1804</v>
      </c>
      <c r="C668" s="1" t="s">
        <v>1805</v>
      </c>
      <c r="D668" s="1" t="s">
        <v>1787</v>
      </c>
      <c r="F668" s="3">
        <f>IFERROR(__xludf.DUMMYFUNCTION("INT((DATE(INDEX(SPLIT(B668,""/| |:""),3), INDEX(SPLIT(B668,""/| |:""),2), INDEX(SPLIT(B668,""/| |:""),1)) + TIME(INDEX(SPLIT(B668,""/| |:""),4), INDEX(SPLIT(B668,""/| |:""),5), INDEX(SPLIT(B668,""/| |:""),6)) - DATE(1970,1,1)) * 86400)"),1.701182505E9)</f>
        <v>1701182505</v>
      </c>
      <c r="G668" s="3">
        <f>IFERROR(__xludf.DUMMYFUNCTION("INT((DATE(INDEX(SPLIT(C668,""/| |:""),3), INDEX(SPLIT(C668,""/| |:""),2), INDEX(SPLIT(C668,""/| |:""),1)) + TIME(INDEX(SPLIT(C668,""/| |:""),4), INDEX(SPLIT(C668,""/| |:""),5), INDEX(SPLIT(C668,""/| |:""),6)) - DATE(1970,1,1)) * 86400)"),1.703774505E9)</f>
        <v>1703774505</v>
      </c>
    </row>
    <row r="669">
      <c r="A669" s="1" t="s">
        <v>451</v>
      </c>
      <c r="B669" s="5" t="s">
        <v>1806</v>
      </c>
      <c r="C669" s="1" t="s">
        <v>1807</v>
      </c>
      <c r="D669" s="1" t="s">
        <v>1787</v>
      </c>
      <c r="F669" s="3">
        <f>IFERROR(__xludf.DUMMYFUNCTION("INT((DATE(INDEX(SPLIT(B669,""/| |:""),3), INDEX(SPLIT(B669,""/| |:""),2), INDEX(SPLIT(B669,""/| |:""),1)) + TIME(INDEX(SPLIT(B669,""/| |:""),4), INDEX(SPLIT(B669,""/| |:""),5), INDEX(SPLIT(B669,""/| |:""),6)) - DATE(1970,1,1)) * 86400)"),1.700830646E9)</f>
        <v>1700830646</v>
      </c>
      <c r="G669" s="3">
        <f>IFERROR(__xludf.DUMMYFUNCTION("INT((DATE(INDEX(SPLIT(C669,""/| |:""),3), INDEX(SPLIT(C669,""/| |:""),2), INDEX(SPLIT(C669,""/| |:""),1)) + TIME(INDEX(SPLIT(C669,""/| |:""),4), INDEX(SPLIT(C669,""/| |:""),5), INDEX(SPLIT(C669,""/| |:""),6)) - DATE(1970,1,1)) * 86400)"),1.703422646E9)</f>
        <v>1703422646</v>
      </c>
    </row>
    <row r="670">
      <c r="A670" s="1" t="s">
        <v>452</v>
      </c>
      <c r="B670" s="5" t="s">
        <v>1808</v>
      </c>
      <c r="C670" s="1" t="s">
        <v>1809</v>
      </c>
      <c r="D670" s="1" t="s">
        <v>1787</v>
      </c>
      <c r="F670" s="3">
        <f>IFERROR(__xludf.DUMMYFUNCTION("INT((DATE(INDEX(SPLIT(B670,""/| |:""),3), INDEX(SPLIT(B670,""/| |:""),2), INDEX(SPLIT(B670,""/| |:""),1)) + TIME(INDEX(SPLIT(B670,""/| |:""),4), INDEX(SPLIT(B670,""/| |:""),5), INDEX(SPLIT(B670,""/| |:""),6)) - DATE(1970,1,1)) * 86400)"),1.7006519E9)</f>
        <v>1700651900</v>
      </c>
      <c r="G670" s="3">
        <f>IFERROR(__xludf.DUMMYFUNCTION("INT((DATE(INDEX(SPLIT(C670,""/| |:""),3), INDEX(SPLIT(C670,""/| |:""),2), INDEX(SPLIT(C670,""/| |:""),1)) + TIME(INDEX(SPLIT(C670,""/| |:""),4), INDEX(SPLIT(C670,""/| |:""),5), INDEX(SPLIT(C670,""/| |:""),6)) - DATE(1970,1,1)) * 86400)"),1.7032439E9)</f>
        <v>1703243900</v>
      </c>
    </row>
    <row r="671">
      <c r="A671" s="1" t="s">
        <v>449</v>
      </c>
      <c r="B671" s="5" t="s">
        <v>1810</v>
      </c>
      <c r="C671" s="1" t="s">
        <v>1811</v>
      </c>
      <c r="D671" s="1" t="s">
        <v>1787</v>
      </c>
      <c r="F671" s="3">
        <f>IFERROR(__xludf.DUMMYFUNCTION("INT((DATE(INDEX(SPLIT(B671,""/| |:""),3), INDEX(SPLIT(B671,""/| |:""),2), INDEX(SPLIT(B671,""/| |:""),1)) + TIME(INDEX(SPLIT(B671,""/| |:""),4), INDEX(SPLIT(B671,""/| |:""),5), INDEX(SPLIT(B671,""/| |:""),6)) - DATE(1970,1,1)) * 86400)"),1.700591372E9)</f>
        <v>1700591372</v>
      </c>
      <c r="G671" s="3">
        <f>IFERROR(__xludf.DUMMYFUNCTION("INT((DATE(INDEX(SPLIT(C671,""/| |:""),3), INDEX(SPLIT(C671,""/| |:""),2), INDEX(SPLIT(C671,""/| |:""),1)) + TIME(INDEX(SPLIT(C671,""/| |:""),4), INDEX(SPLIT(C671,""/| |:""),5), INDEX(SPLIT(C671,""/| |:""),6)) - DATE(1970,1,1)) * 86400)"),1.703183372E9)</f>
        <v>1703183372</v>
      </c>
    </row>
    <row r="672">
      <c r="A672" s="1" t="s">
        <v>453</v>
      </c>
      <c r="B672" s="5" t="s">
        <v>1812</v>
      </c>
      <c r="C672" s="1" t="s">
        <v>1813</v>
      </c>
      <c r="D672" s="1" t="s">
        <v>1787</v>
      </c>
      <c r="F672" s="3">
        <f>IFERROR(__xludf.DUMMYFUNCTION("INT((DATE(INDEX(SPLIT(B672,""/| |:""),3), INDEX(SPLIT(B672,""/| |:""),2), INDEX(SPLIT(B672,""/| |:""),1)) + TIME(INDEX(SPLIT(B672,""/| |:""),4), INDEX(SPLIT(B672,""/| |:""),5), INDEX(SPLIT(B672,""/| |:""),6)) - DATE(1970,1,1)) * 86400)"),1.700153457E9)</f>
        <v>1700153457</v>
      </c>
      <c r="G672" s="3">
        <f>IFERROR(__xludf.DUMMYFUNCTION("INT((DATE(INDEX(SPLIT(C672,""/| |:""),3), INDEX(SPLIT(C672,""/| |:""),2), INDEX(SPLIT(C672,""/| |:""),1)) + TIME(INDEX(SPLIT(C672,""/| |:""),4), INDEX(SPLIT(C672,""/| |:""),5), INDEX(SPLIT(C672,""/| |:""),6)) - DATE(1970,1,1)) * 86400)"),1.702745457E9)</f>
        <v>1702745457</v>
      </c>
    </row>
    <row r="673">
      <c r="A673" s="1" t="s">
        <v>454</v>
      </c>
      <c r="B673" s="5" t="s">
        <v>1814</v>
      </c>
      <c r="C673" s="1" t="s">
        <v>1815</v>
      </c>
      <c r="D673" s="1" t="s">
        <v>1787</v>
      </c>
      <c r="F673" s="3">
        <f>IFERROR(__xludf.DUMMYFUNCTION("INT((DATE(INDEX(SPLIT(B673,""/| |:""),3), INDEX(SPLIT(B673,""/| |:""),2), INDEX(SPLIT(B673,""/| |:""),1)) + TIME(INDEX(SPLIT(B673,""/| |:""),4), INDEX(SPLIT(B673,""/| |:""),5), INDEX(SPLIT(B673,""/| |:""),6)) - DATE(1970,1,1)) * 86400)"),1.700124741E9)</f>
        <v>1700124741</v>
      </c>
      <c r="G673" s="3">
        <f>IFERROR(__xludf.DUMMYFUNCTION("INT((DATE(INDEX(SPLIT(C673,""/| |:""),3), INDEX(SPLIT(C673,""/| |:""),2), INDEX(SPLIT(C673,""/| |:""),1)) + TIME(INDEX(SPLIT(C673,""/| |:""),4), INDEX(SPLIT(C673,""/| |:""),5), INDEX(SPLIT(C673,""/| |:""),6)) - DATE(1970,1,1)) * 86400)"),1.702716741E9)</f>
        <v>1702716741</v>
      </c>
    </row>
    <row r="674">
      <c r="A674" s="1" t="s">
        <v>163</v>
      </c>
      <c r="B674" s="5" t="s">
        <v>1816</v>
      </c>
      <c r="C674" s="1" t="s">
        <v>1817</v>
      </c>
      <c r="D674" s="1" t="s">
        <v>1787</v>
      </c>
      <c r="F674" s="3">
        <f>IFERROR(__xludf.DUMMYFUNCTION("INT((DATE(INDEX(SPLIT(B674,""/| |:""),3), INDEX(SPLIT(B674,""/| |:""),2), INDEX(SPLIT(B674,""/| |:""),1)) + TIME(INDEX(SPLIT(B674,""/| |:""),4), INDEX(SPLIT(B674,""/| |:""),5), INDEX(SPLIT(B674,""/| |:""),6)) - DATE(1970,1,1)) * 86400)"),1.700036675E9)</f>
        <v>1700036675</v>
      </c>
      <c r="G674" s="3">
        <f>IFERROR(__xludf.DUMMYFUNCTION("INT((DATE(INDEX(SPLIT(C674,""/| |:""),3), INDEX(SPLIT(C674,""/| |:""),2), INDEX(SPLIT(C674,""/| |:""),1)) + TIME(INDEX(SPLIT(C674,""/| |:""),4), INDEX(SPLIT(C674,""/| |:""),5), INDEX(SPLIT(C674,""/| |:""),6)) - DATE(1970,1,1)) * 86400)"),1.702628675E9)</f>
        <v>1702628675</v>
      </c>
    </row>
    <row r="675">
      <c r="A675" s="1" t="s">
        <v>455</v>
      </c>
      <c r="B675" s="5" t="s">
        <v>1818</v>
      </c>
      <c r="C675" s="1" t="s">
        <v>1819</v>
      </c>
      <c r="D675" s="1" t="s">
        <v>1787</v>
      </c>
      <c r="F675" s="3">
        <f>IFERROR(__xludf.DUMMYFUNCTION("INT((DATE(INDEX(SPLIT(B675,""/| |:""),3), INDEX(SPLIT(B675,""/| |:""),2), INDEX(SPLIT(B675,""/| |:""),1)) + TIME(INDEX(SPLIT(B675,""/| |:""),4), INDEX(SPLIT(B675,""/| |:""),5), INDEX(SPLIT(B675,""/| |:""),6)) - DATE(1970,1,1)) * 86400)"),1.699961811E9)</f>
        <v>1699961811</v>
      </c>
      <c r="G675" s="3">
        <f>IFERROR(__xludf.DUMMYFUNCTION("INT((DATE(INDEX(SPLIT(C675,""/| |:""),3), INDEX(SPLIT(C675,""/| |:""),2), INDEX(SPLIT(C675,""/| |:""),1)) + TIME(INDEX(SPLIT(C675,""/| |:""),4), INDEX(SPLIT(C675,""/| |:""),5), INDEX(SPLIT(C675,""/| |:""),6)) - DATE(1970,1,1)) * 86400)"),1.702553811E9)</f>
        <v>1702553811</v>
      </c>
    </row>
    <row r="676">
      <c r="A676" s="1" t="s">
        <v>456</v>
      </c>
      <c r="B676" s="5">
        <v>45118.77193287037</v>
      </c>
      <c r="C676" s="7">
        <v>45119.77193287037</v>
      </c>
      <c r="D676" s="1" t="s">
        <v>1787</v>
      </c>
      <c r="F676" s="3">
        <f>IFERROR(__xludf.DUMMYFUNCTION("INT((DATE(INDEX(SPLIT(B676,""/| |:""),3), INDEX(SPLIT(B676,""/| |:""),2), INDEX(SPLIT(B676,""/| |:""),1)) + TIME(INDEX(SPLIT(B676,""/| |:""),4), INDEX(SPLIT(B676,""/| |:""),5), INDEX(SPLIT(B676,""/| |:""),6)) - DATE(1970,1,1)) * 86400)"),1.699381895E9)</f>
        <v>1699381895</v>
      </c>
      <c r="G676" s="3">
        <f>IFERROR(__xludf.DUMMYFUNCTION("INT((DATE(INDEX(SPLIT(C676,""/| |:""),3), INDEX(SPLIT(C676,""/| |:""),2), INDEX(SPLIT(C676,""/| |:""),1)) + TIME(INDEX(SPLIT(C676,""/| |:""),4), INDEX(SPLIT(C676,""/| |:""),5), INDEX(SPLIT(C676,""/| |:""),6)) - DATE(1970,1,1)) * 86400)"),1.701973895E9)</f>
        <v>1701973895</v>
      </c>
    </row>
    <row r="677">
      <c r="A677" s="1" t="s">
        <v>457</v>
      </c>
      <c r="B677" s="5" t="s">
        <v>1820</v>
      </c>
      <c r="C677" s="1" t="s">
        <v>1821</v>
      </c>
      <c r="D677" s="1" t="s">
        <v>1787</v>
      </c>
      <c r="F677" s="3">
        <f>IFERROR(__xludf.DUMMYFUNCTION("INT((DATE(INDEX(SPLIT(B677,""/| |:""),3), INDEX(SPLIT(B677,""/| |:""),2), INDEX(SPLIT(B677,""/| |:""),1)) + TIME(INDEX(SPLIT(B677,""/| |:""),4), INDEX(SPLIT(B677,""/| |:""),5), INDEX(SPLIT(B677,""/| |:""),6)) - DATE(1970,1,1)) * 86400)"),1.698597078E9)</f>
        <v>1698597078</v>
      </c>
      <c r="G677" s="3">
        <f>IFERROR(__xludf.DUMMYFUNCTION("INT((DATE(INDEX(SPLIT(C677,""/| |:""),3), INDEX(SPLIT(C677,""/| |:""),2), INDEX(SPLIT(C677,""/| |:""),1)) + TIME(INDEX(SPLIT(C677,""/| |:""),4), INDEX(SPLIT(C677,""/| |:""),5), INDEX(SPLIT(C677,""/| |:""),6)) - DATE(1970,1,1)) * 86400)"),1.701189078E9)</f>
        <v>1701189078</v>
      </c>
    </row>
    <row r="678">
      <c r="A678" s="1" t="s">
        <v>458</v>
      </c>
      <c r="B678" s="5" t="s">
        <v>1822</v>
      </c>
      <c r="C678" s="1" t="s">
        <v>1823</v>
      </c>
      <c r="D678" s="1" t="s">
        <v>1787</v>
      </c>
      <c r="F678" s="3">
        <f>IFERROR(__xludf.DUMMYFUNCTION("INT((DATE(INDEX(SPLIT(B678,""/| |:""),3), INDEX(SPLIT(B678,""/| |:""),2), INDEX(SPLIT(B678,""/| |:""),1)) + TIME(INDEX(SPLIT(B678,""/| |:""),4), INDEX(SPLIT(B678,""/| |:""),5), INDEX(SPLIT(B678,""/| |:""),6)) - DATE(1970,1,1)) * 86400)"),1.698064168E9)</f>
        <v>1698064168</v>
      </c>
      <c r="G678" s="3">
        <f>IFERROR(__xludf.DUMMYFUNCTION("INT((DATE(INDEX(SPLIT(C678,""/| |:""),3), INDEX(SPLIT(C678,""/| |:""),2), INDEX(SPLIT(C678,""/| |:""),1)) + TIME(INDEX(SPLIT(C678,""/| |:""),4), INDEX(SPLIT(C678,""/| |:""),5), INDEX(SPLIT(C678,""/| |:""),6)) - DATE(1970,1,1)) * 86400)"),1.700656168E9)</f>
        <v>1700656168</v>
      </c>
    </row>
    <row r="679">
      <c r="A679" s="1" t="s">
        <v>194</v>
      </c>
      <c r="B679" s="5" t="s">
        <v>1824</v>
      </c>
      <c r="C679" s="1" t="s">
        <v>1825</v>
      </c>
      <c r="D679" s="1" t="s">
        <v>1787</v>
      </c>
      <c r="F679" s="3">
        <f>IFERROR(__xludf.DUMMYFUNCTION("INT((DATE(INDEX(SPLIT(B679,""/| |:""),3), INDEX(SPLIT(B679,""/| |:""),2), INDEX(SPLIT(B679,""/| |:""),1)) + TIME(INDEX(SPLIT(B679,""/| |:""),4), INDEX(SPLIT(B679,""/| |:""),5), INDEX(SPLIT(B679,""/| |:""),6)) - DATE(1970,1,1)) * 86400)"),1.697888238E9)</f>
        <v>1697888238</v>
      </c>
      <c r="G679" s="3">
        <f>IFERROR(__xludf.DUMMYFUNCTION("INT((DATE(INDEX(SPLIT(C679,""/| |:""),3), INDEX(SPLIT(C679,""/| |:""),2), INDEX(SPLIT(C679,""/| |:""),1)) + TIME(INDEX(SPLIT(C679,""/| |:""),4), INDEX(SPLIT(C679,""/| |:""),5), INDEX(SPLIT(C679,""/| |:""),6)) - DATE(1970,1,1)) * 86400)"),1.700480238E9)</f>
        <v>1700480238</v>
      </c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  <row r="1001">
      <c r="B1001" s="5"/>
    </row>
    <row r="1002">
      <c r="B1002" s="5"/>
    </row>
    <row r="1003">
      <c r="B1003" s="5"/>
    </row>
    <row r="1004">
      <c r="B1004" s="5"/>
    </row>
    <row r="1005">
      <c r="B1005" s="5"/>
    </row>
    <row r="1006">
      <c r="B1006" s="5"/>
    </row>
    <row r="1007">
      <c r="B1007" s="5"/>
    </row>
    <row r="1008">
      <c r="B1008" s="5"/>
    </row>
    <row r="1009">
      <c r="B1009" s="5"/>
    </row>
    <row r="1010">
      <c r="B1010" s="5"/>
    </row>
    <row r="1011">
      <c r="B1011" s="5"/>
    </row>
    <row r="1012">
      <c r="B1012" s="5"/>
    </row>
    <row r="1013">
      <c r="B1013" s="5"/>
    </row>
    <row r="1014">
      <c r="B1014" s="5"/>
    </row>
    <row r="1015">
      <c r="B1015" s="5"/>
    </row>
    <row r="1016">
      <c r="B1016" s="5"/>
    </row>
    <row r="1017">
      <c r="B1017" s="5"/>
    </row>
    <row r="1018">
      <c r="B1018" s="5"/>
    </row>
    <row r="1019">
      <c r="B1019" s="5"/>
    </row>
    <row r="1020">
      <c r="B1020" s="5"/>
    </row>
    <row r="1021">
      <c r="B1021" s="5"/>
    </row>
    <row r="1022">
      <c r="B1022" s="5"/>
    </row>
    <row r="1023">
      <c r="B1023" s="5"/>
    </row>
    <row r="1024">
      <c r="B1024" s="5"/>
    </row>
    <row r="1025">
      <c r="B1025" s="5"/>
    </row>
    <row r="1026">
      <c r="B1026" s="5"/>
    </row>
    <row r="1027">
      <c r="B1027" s="5"/>
    </row>
    <row r="1028">
      <c r="B1028" s="5"/>
    </row>
    <row r="1029">
      <c r="B1029" s="5"/>
    </row>
    <row r="1030">
      <c r="B1030" s="5"/>
    </row>
    <row r="1031">
      <c r="B1031" s="5"/>
    </row>
    <row r="1032">
      <c r="B1032" s="5"/>
    </row>
    <row r="1033">
      <c r="B1033" s="5"/>
    </row>
    <row r="1034">
      <c r="B1034" s="5"/>
    </row>
    <row r="1035">
      <c r="B1035" s="5"/>
    </row>
    <row r="1036">
      <c r="B1036" s="5"/>
    </row>
    <row r="1037">
      <c r="B1037" s="5"/>
    </row>
    <row r="1038">
      <c r="B1038" s="5"/>
    </row>
    <row r="1039">
      <c r="B1039" s="5"/>
    </row>
    <row r="1040">
      <c r="B1040" s="5"/>
    </row>
    <row r="1041">
      <c r="B1041" s="5"/>
    </row>
    <row r="1042">
      <c r="B1042" s="5"/>
    </row>
    <row r="1043">
      <c r="B1043" s="5"/>
    </row>
    <row r="1044">
      <c r="B1044" s="5"/>
    </row>
    <row r="1045">
      <c r="B1045" s="5"/>
    </row>
    <row r="1046">
      <c r="B1046" s="5"/>
    </row>
    <row r="1047">
      <c r="B1047" s="5"/>
    </row>
    <row r="1048">
      <c r="B1048" s="5"/>
    </row>
    <row r="1049">
      <c r="B1049" s="5"/>
    </row>
    <row r="1050">
      <c r="B1050" s="5"/>
    </row>
    <row r="1051">
      <c r="B1051" s="5"/>
    </row>
    <row r="1052">
      <c r="B1052" s="5"/>
    </row>
    <row r="1053">
      <c r="B1053" s="5"/>
    </row>
    <row r="1054">
      <c r="B1054" s="5"/>
    </row>
    <row r="1055">
      <c r="B1055" s="5"/>
    </row>
    <row r="1056">
      <c r="B1056" s="5"/>
    </row>
    <row r="1057">
      <c r="B1057" s="5"/>
    </row>
    <row r="1058">
      <c r="B1058" s="5"/>
    </row>
    <row r="1059">
      <c r="B1059" s="5"/>
    </row>
    <row r="1060">
      <c r="B1060" s="5"/>
    </row>
    <row r="1061">
      <c r="B1061" s="5"/>
    </row>
    <row r="1062">
      <c r="B1062" s="5"/>
    </row>
    <row r="1063">
      <c r="B1063" s="5"/>
    </row>
    <row r="1064">
      <c r="B1064" s="5"/>
    </row>
    <row r="1065">
      <c r="B1065" s="5"/>
    </row>
    <row r="1066">
      <c r="B1066" s="5"/>
    </row>
    <row r="1067">
      <c r="B1067" s="5"/>
    </row>
    <row r="1068">
      <c r="B1068" s="5"/>
    </row>
    <row r="1069">
      <c r="B1069" s="5"/>
    </row>
    <row r="1070">
      <c r="B1070" s="5"/>
    </row>
    <row r="1071">
      <c r="B1071" s="5"/>
    </row>
    <row r="1072">
      <c r="B1072" s="5"/>
    </row>
    <row r="1073">
      <c r="B1073" s="5"/>
    </row>
    <row r="1074">
      <c r="B1074" s="5"/>
    </row>
    <row r="1075">
      <c r="B1075" s="5"/>
    </row>
    <row r="1076">
      <c r="B1076" s="5"/>
    </row>
    <row r="1077">
      <c r="B1077" s="5"/>
    </row>
    <row r="1078">
      <c r="B1078" s="5"/>
    </row>
    <row r="1079">
      <c r="B1079" s="5"/>
    </row>
    <row r="1080">
      <c r="B1080" s="5"/>
    </row>
    <row r="1081">
      <c r="B1081" s="5"/>
    </row>
    <row r="1082">
      <c r="B1082" s="5"/>
    </row>
    <row r="1083">
      <c r="B1083" s="5"/>
    </row>
    <row r="1084">
      <c r="B1084" s="5"/>
    </row>
    <row r="1085">
      <c r="B1085" s="5"/>
    </row>
    <row r="1086">
      <c r="B1086" s="5"/>
    </row>
    <row r="1087">
      <c r="B1087" s="5"/>
    </row>
    <row r="1088">
      <c r="B1088" s="5"/>
    </row>
    <row r="1089">
      <c r="B1089" s="5"/>
    </row>
    <row r="1090">
      <c r="B1090" s="5"/>
    </row>
    <row r="1091">
      <c r="B1091" s="5"/>
    </row>
    <row r="1092">
      <c r="B1092" s="5"/>
    </row>
    <row r="1093">
      <c r="B1093" s="5"/>
    </row>
    <row r="1094">
      <c r="B1094" s="5"/>
    </row>
    <row r="1095">
      <c r="B1095" s="5"/>
    </row>
    <row r="1096">
      <c r="B1096" s="5"/>
    </row>
    <row r="1097">
      <c r="B1097" s="5"/>
    </row>
    <row r="1098">
      <c r="B1098" s="5"/>
    </row>
    <row r="1099">
      <c r="B1099" s="5"/>
    </row>
    <row r="1100">
      <c r="B1100" s="5"/>
    </row>
    <row r="1101">
      <c r="B1101" s="5"/>
    </row>
    <row r="1102">
      <c r="B1102" s="5"/>
    </row>
    <row r="1103">
      <c r="B1103" s="5"/>
    </row>
    <row r="1104">
      <c r="B1104" s="5"/>
    </row>
    <row r="1105">
      <c r="B1105" s="5"/>
    </row>
    <row r="1106">
      <c r="B1106" s="5"/>
    </row>
    <row r="1107">
      <c r="B1107" s="5"/>
    </row>
    <row r="1108">
      <c r="B1108" s="5"/>
    </row>
    <row r="1109">
      <c r="B1109" s="5"/>
    </row>
    <row r="1110">
      <c r="B1110" s="5"/>
    </row>
    <row r="1111">
      <c r="B1111" s="5"/>
    </row>
    <row r="1112">
      <c r="B1112" s="5"/>
    </row>
    <row r="1113">
      <c r="B1113" s="5"/>
    </row>
    <row r="1114">
      <c r="B1114" s="5"/>
    </row>
    <row r="1115">
      <c r="B1115" s="5"/>
    </row>
    <row r="1116">
      <c r="B1116" s="5"/>
    </row>
    <row r="1117">
      <c r="B1117" s="5"/>
    </row>
    <row r="1118">
      <c r="B1118" s="5"/>
    </row>
    <row r="1119">
      <c r="B1119" s="5"/>
    </row>
    <row r="1120">
      <c r="B1120" s="5"/>
    </row>
    <row r="1121">
      <c r="B1121" s="5"/>
    </row>
    <row r="1122">
      <c r="B1122" s="5"/>
    </row>
    <row r="1123">
      <c r="B1123" s="5"/>
    </row>
    <row r="1124">
      <c r="B1124" s="5"/>
    </row>
    <row r="1125">
      <c r="B1125" s="5"/>
    </row>
    <row r="1126">
      <c r="B1126" s="5"/>
    </row>
    <row r="1127">
      <c r="B1127" s="5"/>
    </row>
    <row r="1128">
      <c r="B1128" s="5"/>
    </row>
    <row r="1129">
      <c r="B1129" s="5"/>
    </row>
    <row r="1130">
      <c r="B1130" s="5"/>
    </row>
    <row r="1131">
      <c r="B1131" s="5"/>
    </row>
    <row r="1132">
      <c r="B1132" s="5"/>
    </row>
    <row r="1133">
      <c r="B1133" s="5"/>
    </row>
    <row r="1134">
      <c r="B1134" s="5"/>
    </row>
    <row r="1135">
      <c r="B1135" s="5"/>
    </row>
    <row r="1136">
      <c r="B1136" s="5"/>
    </row>
    <row r="1137">
      <c r="B1137" s="5"/>
    </row>
    <row r="1138">
      <c r="B1138" s="5"/>
    </row>
    <row r="1139">
      <c r="B1139" s="5"/>
    </row>
    <row r="1140">
      <c r="B1140" s="5"/>
    </row>
    <row r="1141">
      <c r="B1141" s="5"/>
    </row>
    <row r="1142">
      <c r="B1142" s="5"/>
    </row>
    <row r="1143">
      <c r="B1143" s="5"/>
    </row>
    <row r="1144">
      <c r="B1144" s="5"/>
    </row>
    <row r="1145">
      <c r="B1145" s="5"/>
    </row>
    <row r="1146">
      <c r="B1146" s="5"/>
    </row>
    <row r="1147">
      <c r="B1147" s="5"/>
    </row>
    <row r="1148">
      <c r="B1148" s="5"/>
    </row>
    <row r="1149">
      <c r="B1149" s="5"/>
    </row>
    <row r="1150">
      <c r="B1150" s="5"/>
    </row>
    <row r="1151">
      <c r="B1151" s="5"/>
    </row>
    <row r="1152">
      <c r="B1152" s="5"/>
    </row>
    <row r="1153">
      <c r="B1153" s="5"/>
    </row>
    <row r="1154">
      <c r="B1154" s="5"/>
    </row>
    <row r="1155">
      <c r="B1155" s="5"/>
    </row>
    <row r="1156">
      <c r="B1156" s="5"/>
    </row>
    <row r="1157">
      <c r="B1157" s="5"/>
    </row>
    <row r="1158">
      <c r="B1158" s="5"/>
    </row>
    <row r="1159">
      <c r="B1159" s="5"/>
    </row>
    <row r="1160">
      <c r="B1160" s="5"/>
    </row>
    <row r="1161">
      <c r="B1161" s="5"/>
    </row>
    <row r="1162">
      <c r="B1162" s="5"/>
    </row>
    <row r="1163">
      <c r="B1163" s="5"/>
    </row>
    <row r="1164">
      <c r="B1164" s="4"/>
    </row>
    <row r="1165">
      <c r="B1165" s="4"/>
    </row>
    <row r="1166">
      <c r="B1166" s="4"/>
    </row>
    <row r="1167">
      <c r="B1167" s="4"/>
    </row>
    <row r="1168">
      <c r="B1168" s="4"/>
    </row>
    <row r="1169">
      <c r="B1169" s="4"/>
    </row>
    <row r="1170">
      <c r="B1170" s="4"/>
    </row>
    <row r="1171">
      <c r="B1171" s="4"/>
    </row>
    <row r="1172">
      <c r="B1172" s="4"/>
    </row>
    <row r="1173">
      <c r="B1173" s="4"/>
    </row>
    <row r="1174">
      <c r="B1174" s="4"/>
    </row>
    <row r="1175">
      <c r="B1175" s="4"/>
    </row>
    <row r="1176">
      <c r="B1176" s="4"/>
    </row>
    <row r="1177">
      <c r="B1177" s="4"/>
    </row>
    <row r="1178">
      <c r="B1178" s="4"/>
    </row>
    <row r="1179">
      <c r="B1179" s="4"/>
    </row>
    <row r="1180">
      <c r="B1180" s="4"/>
    </row>
    <row r="1181">
      <c r="B1181" s="4"/>
    </row>
    <row r="1182">
      <c r="B1182" s="4"/>
    </row>
    <row r="1183">
      <c r="B1183" s="4"/>
    </row>
    <row r="1184">
      <c r="B1184" s="4"/>
    </row>
    <row r="1185">
      <c r="B1185" s="4"/>
    </row>
    <row r="1186">
      <c r="B1186" s="4"/>
    </row>
    <row r="1187">
      <c r="B1187" s="4"/>
    </row>
    <row r="1188">
      <c r="B1188" s="4"/>
    </row>
    <row r="1189">
      <c r="B1189" s="4"/>
    </row>
    <row r="1190">
      <c r="B1190" s="4"/>
    </row>
    <row r="1191">
      <c r="B1191" s="4"/>
    </row>
    <row r="1192">
      <c r="B1192" s="4"/>
    </row>
    <row r="1193">
      <c r="B1193" s="4"/>
    </row>
    <row r="1194">
      <c r="B1194" s="4"/>
    </row>
    <row r="1195">
      <c r="B1195" s="4"/>
    </row>
    <row r="1196">
      <c r="B1196" s="4"/>
    </row>
    <row r="1197">
      <c r="B1197" s="4"/>
    </row>
    <row r="1198">
      <c r="B1198" s="4"/>
    </row>
    <row r="1199">
      <c r="B1199" s="4"/>
    </row>
    <row r="1200">
      <c r="B1200" s="4"/>
    </row>
    <row r="1201">
      <c r="B1201" s="4"/>
    </row>
    <row r="1202">
      <c r="B1202" s="4"/>
    </row>
    <row r="1203">
      <c r="B1203" s="4"/>
    </row>
    <row r="1204">
      <c r="B1204" s="4"/>
    </row>
    <row r="1205">
      <c r="B1205" s="4"/>
    </row>
    <row r="1206">
      <c r="B1206" s="4"/>
    </row>
    <row r="1207">
      <c r="B1207" s="4"/>
    </row>
    <row r="1208">
      <c r="B1208" s="4"/>
    </row>
    <row r="1209">
      <c r="B1209" s="4"/>
    </row>
    <row r="1210">
      <c r="B1210" s="4"/>
    </row>
    <row r="1211">
      <c r="B1211" s="4"/>
    </row>
    <row r="1212">
      <c r="B1212" s="4"/>
    </row>
    <row r="1213">
      <c r="B1213" s="4"/>
    </row>
    <row r="1214">
      <c r="B1214" s="4"/>
    </row>
    <row r="1215">
      <c r="B1215" s="4"/>
    </row>
    <row r="1216">
      <c r="B1216" s="4"/>
    </row>
    <row r="1217">
      <c r="B1217" s="4"/>
    </row>
    <row r="1218">
      <c r="B1218" s="4"/>
    </row>
    <row r="1219">
      <c r="B1219" s="4"/>
    </row>
    <row r="1220">
      <c r="B1220" s="4"/>
    </row>
    <row r="1221">
      <c r="B1221" s="4"/>
    </row>
    <row r="1222">
      <c r="B1222" s="4"/>
    </row>
    <row r="1223">
      <c r="B1223" s="4"/>
    </row>
    <row r="1224">
      <c r="B1224" s="4"/>
    </row>
    <row r="1225">
      <c r="B1225" s="4"/>
    </row>
    <row r="1226">
      <c r="B1226" s="4"/>
    </row>
    <row r="1227">
      <c r="B1227" s="4"/>
    </row>
    <row r="1228">
      <c r="B1228" s="4"/>
    </row>
    <row r="1229">
      <c r="B1229" s="4"/>
    </row>
    <row r="1230">
      <c r="B1230" s="4"/>
    </row>
    <row r="1231">
      <c r="B1231" s="4"/>
    </row>
    <row r="1232">
      <c r="B1232" s="4"/>
    </row>
    <row r="1233">
      <c r="B1233" s="4"/>
    </row>
    <row r="1234">
      <c r="B1234" s="4"/>
    </row>
    <row r="1235">
      <c r="B1235" s="4"/>
    </row>
    <row r="1236">
      <c r="B1236" s="4"/>
    </row>
    <row r="1237">
      <c r="B1237" s="4"/>
    </row>
    <row r="1238">
      <c r="B1238" s="4"/>
    </row>
    <row r="1239">
      <c r="B1239" s="4"/>
    </row>
    <row r="1240">
      <c r="B1240" s="4"/>
    </row>
    <row r="1241">
      <c r="B1241" s="4"/>
    </row>
    <row r="1242">
      <c r="B1242" s="4"/>
    </row>
    <row r="1243">
      <c r="B1243" s="4"/>
    </row>
    <row r="1244">
      <c r="B1244" s="4"/>
    </row>
    <row r="1245">
      <c r="B1245" s="4"/>
    </row>
    <row r="1246">
      <c r="B1246" s="4"/>
    </row>
    <row r="1247">
      <c r="B1247" s="4"/>
    </row>
    <row r="1248">
      <c r="B1248" s="4"/>
    </row>
    <row r="1249">
      <c r="B1249" s="4"/>
    </row>
    <row r="1250">
      <c r="B1250" s="4"/>
    </row>
    <row r="1251">
      <c r="B1251" s="4"/>
    </row>
    <row r="1252">
      <c r="B1252" s="4"/>
    </row>
    <row r="1253">
      <c r="B1253" s="4"/>
    </row>
    <row r="1254">
      <c r="B1254" s="4"/>
    </row>
    <row r="1255">
      <c r="B1255" s="4"/>
    </row>
    <row r="1256">
      <c r="B1256" s="4"/>
    </row>
    <row r="1257">
      <c r="B1257" s="4"/>
    </row>
    <row r="1258">
      <c r="B1258" s="4"/>
    </row>
    <row r="1259">
      <c r="B1259" s="4"/>
    </row>
    <row r="1260">
      <c r="B1260" s="4"/>
    </row>
    <row r="1261">
      <c r="B1261" s="4"/>
    </row>
    <row r="1262">
      <c r="B1262" s="4"/>
    </row>
    <row r="1263">
      <c r="B1263" s="4"/>
    </row>
    <row r="1264">
      <c r="B1264" s="4"/>
    </row>
    <row r="1265">
      <c r="B1265" s="4"/>
    </row>
    <row r="1266">
      <c r="B1266" s="4"/>
    </row>
    <row r="1267">
      <c r="B1267" s="4"/>
    </row>
    <row r="1268">
      <c r="B1268" s="4"/>
    </row>
    <row r="1269">
      <c r="B1269" s="4"/>
    </row>
    <row r="1270">
      <c r="B1270" s="4"/>
    </row>
    <row r="1271">
      <c r="B1271" s="4"/>
    </row>
    <row r="1272">
      <c r="B1272" s="4"/>
    </row>
    <row r="1273">
      <c r="B1273" s="4"/>
    </row>
    <row r="1274">
      <c r="B1274" s="4"/>
    </row>
    <row r="1275">
      <c r="B1275" s="4"/>
    </row>
    <row r="1276">
      <c r="B1276" s="4"/>
    </row>
    <row r="1277">
      <c r="B1277" s="4"/>
    </row>
    <row r="1278">
      <c r="B1278" s="4"/>
    </row>
    <row r="1279">
      <c r="B1279" s="4"/>
    </row>
    <row r="1280">
      <c r="B1280" s="4"/>
    </row>
    <row r="1281">
      <c r="B1281" s="4"/>
    </row>
    <row r="1282">
      <c r="B1282" s="4"/>
    </row>
    <row r="1283">
      <c r="B1283" s="4"/>
    </row>
    <row r="1284">
      <c r="B1284" s="4"/>
    </row>
    <row r="1285">
      <c r="B1285" s="4"/>
    </row>
    <row r="1286">
      <c r="B1286" s="4"/>
    </row>
    <row r="1287">
      <c r="B1287" s="4"/>
    </row>
    <row r="1288">
      <c r="B1288" s="4"/>
    </row>
    <row r="1289">
      <c r="B1289" s="4"/>
    </row>
    <row r="1290">
      <c r="B1290" s="4"/>
    </row>
    <row r="1291">
      <c r="B1291" s="4"/>
    </row>
    <row r="1292">
      <c r="B1292" s="4"/>
    </row>
    <row r="1293">
      <c r="B1293" s="4"/>
    </row>
    <row r="1294">
      <c r="B1294" s="4"/>
    </row>
    <row r="1295">
      <c r="B1295" s="4"/>
    </row>
    <row r="1296">
      <c r="B1296" s="4"/>
    </row>
    <row r="1297">
      <c r="B1297" s="4"/>
    </row>
    <row r="1298">
      <c r="B1298" s="4"/>
    </row>
    <row r="1299">
      <c r="B1299" s="4"/>
    </row>
    <row r="1300">
      <c r="B1300" s="4"/>
    </row>
    <row r="1301">
      <c r="B1301" s="4"/>
    </row>
  </sheetData>
  <drawing r:id="rId1"/>
</worksheet>
</file>