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Linh\"/>
    </mc:Choice>
  </mc:AlternateContent>
  <bookViews>
    <workbookView xWindow="0" yWindow="0" windowWidth="39540" windowHeight="14220"/>
  </bookViews>
  <sheets>
    <sheet name="Barsoukov_different geometr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5" i="3" l="1"/>
  <c r="AJ5" i="3"/>
  <c r="AG5" i="3"/>
  <c r="AI5" i="3"/>
  <c r="W5" i="3"/>
  <c r="U5" i="3"/>
  <c r="BE6" i="3" l="1"/>
  <c r="BE7" i="3"/>
  <c r="BE5" i="3"/>
  <c r="BD7" i="3"/>
  <c r="BD6" i="3"/>
  <c r="BD5" i="3"/>
  <c r="BC7" i="3"/>
  <c r="BC6" i="3"/>
  <c r="BC5" i="3"/>
  <c r="BB7" i="3"/>
  <c r="BB6" i="3"/>
  <c r="BB5" i="3"/>
  <c r="BA6" i="3"/>
  <c r="BA7" i="3"/>
  <c r="BA5" i="3"/>
  <c r="AZ5" i="3"/>
  <c r="AZ6" i="3"/>
  <c r="AZ7" i="3"/>
  <c r="AX7" i="3"/>
  <c r="AX6" i="3"/>
  <c r="AX5" i="3"/>
  <c r="AY6" i="3"/>
  <c r="AY7" i="3"/>
  <c r="AY5" i="3"/>
  <c r="AW7" i="3"/>
  <c r="AW6" i="3"/>
  <c r="AW5" i="3"/>
  <c r="AV7" i="3"/>
  <c r="AV6" i="3"/>
  <c r="AS5" i="3" l="1"/>
  <c r="AP7" i="3"/>
  <c r="AR7" i="3" s="1"/>
  <c r="AJ7" i="3"/>
  <c r="K7" i="3"/>
  <c r="J7" i="3"/>
  <c r="AS7" i="3" s="1"/>
  <c r="F7" i="3"/>
  <c r="E7" i="3"/>
  <c r="AP6" i="3"/>
  <c r="AR6" i="3" s="1"/>
  <c r="AJ6" i="3"/>
  <c r="Q6" i="3"/>
  <c r="Q7" i="3" s="1"/>
  <c r="K6" i="3"/>
  <c r="J6" i="3"/>
  <c r="AS6" i="3" s="1"/>
  <c r="H6" i="3"/>
  <c r="H7" i="3" s="1"/>
  <c r="F6" i="3"/>
  <c r="E6" i="3"/>
  <c r="AU5" i="3"/>
  <c r="AP5" i="3"/>
  <c r="AR5" i="3" s="1"/>
  <c r="S5" i="3"/>
  <c r="R5" i="3"/>
  <c r="I5" i="3"/>
  <c r="F5" i="3"/>
  <c r="E5" i="3"/>
  <c r="G6" i="3" l="1"/>
  <c r="G7" i="3"/>
  <c r="G5" i="3"/>
  <c r="L5" i="3"/>
  <c r="O5" i="3" s="1"/>
  <c r="I6" i="3"/>
  <c r="L6" i="3"/>
  <c r="U6" i="3"/>
  <c r="AU6" i="3"/>
  <c r="AU7" i="3"/>
  <c r="I7" i="3"/>
  <c r="U7" i="3"/>
  <c r="L7" i="3"/>
  <c r="AG7" i="3" s="1"/>
  <c r="AF7" i="3" s="1"/>
  <c r="AF5" i="3" l="1"/>
  <c r="AH5" i="3"/>
  <c r="M5" i="3"/>
  <c r="N5" i="3" s="1"/>
  <c r="Y5" i="3" s="1"/>
  <c r="AI6" i="3"/>
  <c r="AH6" i="3"/>
  <c r="AH7" i="3"/>
  <c r="AI7" i="3"/>
  <c r="AQ5" i="3"/>
  <c r="N6" i="3"/>
  <c r="W6" i="3" s="1"/>
  <c r="O6" i="3"/>
  <c r="AQ7" i="3"/>
  <c r="O7" i="3"/>
  <c r="AQ6" i="3"/>
  <c r="AG6" i="3"/>
  <c r="AF6" i="3" s="1"/>
  <c r="P6" i="3"/>
  <c r="N7" i="3"/>
  <c r="P5" i="3" l="1"/>
  <c r="Y7" i="3"/>
  <c r="Z7" i="3" s="1"/>
  <c r="Y6" i="3"/>
  <c r="Z6" i="3" s="1"/>
  <c r="W7" i="3"/>
  <c r="P7" i="3"/>
  <c r="AD7" i="3"/>
  <c r="AC7" i="3" l="1"/>
  <c r="AA7" i="3" s="1"/>
  <c r="AD6" i="3"/>
  <c r="AA6" i="3" l="1"/>
  <c r="AA5" i="3"/>
  <c r="AC6" i="3"/>
  <c r="AD5" i="3"/>
  <c r="AC5" i="3" s="1"/>
</calcChain>
</file>

<file path=xl/sharedStrings.xml><?xml version="1.0" encoding="utf-8"?>
<sst xmlns="http://schemas.openxmlformats.org/spreadsheetml/2006/main" count="89" uniqueCount="87">
  <si>
    <t>Cd/F</t>
  </si>
  <si>
    <t>Ci/F</t>
  </si>
  <si>
    <t>Qw/F</t>
  </si>
  <si>
    <t>m/g</t>
  </si>
  <si>
    <t>Surface area</t>
  </si>
  <si>
    <t>p/g.cm-3</t>
  </si>
  <si>
    <t>0.3Li[Li0.33Mn0.67]O2·0.7Li[Ni0.5Co0.2Mn0.3]O2</t>
  </si>
  <si>
    <t>a/A</t>
  </si>
  <si>
    <t>c/A</t>
  </si>
  <si>
    <t>Z</t>
  </si>
  <si>
    <t>M/g.mol-1</t>
  </si>
  <si>
    <t>Total volume</t>
  </si>
  <si>
    <t>V1/cm3</t>
  </si>
  <si>
    <t>Unit cell parameters</t>
  </si>
  <si>
    <t>XRD/crystal structure</t>
  </si>
  <si>
    <t>Volume</t>
  </si>
  <si>
    <t>3d Sphere</t>
  </si>
  <si>
    <t>2d Cylinder</t>
  </si>
  <si>
    <t>1d Planar</t>
  </si>
  <si>
    <t>Electrode thickness</t>
    <phoneticPr fontId="4" type="noConversion"/>
  </si>
  <si>
    <t>Electrode area</t>
    <phoneticPr fontId="4" type="noConversion"/>
  </si>
  <si>
    <t>d/cm</t>
  </si>
  <si>
    <t>S_e/cm2</t>
  </si>
  <si>
    <t>Number of particles</t>
  </si>
  <si>
    <t xml:space="preserve">Total surface area </t>
  </si>
  <si>
    <t>N</t>
  </si>
  <si>
    <t>Electrode macroscopic</t>
  </si>
  <si>
    <t>Active material</t>
  </si>
  <si>
    <t>Weight</t>
  </si>
  <si>
    <t>Intercalation</t>
  </si>
  <si>
    <t>P_HN</t>
  </si>
  <si>
    <t>U_HN</t>
  </si>
  <si>
    <t>tau_HN/s</t>
  </si>
  <si>
    <t>tau_i/s</t>
  </si>
  <si>
    <t>Electrode volume</t>
  </si>
  <si>
    <t>Ve/cm3</t>
  </si>
  <si>
    <t>epsilon</t>
  </si>
  <si>
    <t>cm2/cm3</t>
  </si>
  <si>
    <t>Specific area</t>
    <phoneticPr fontId="4" type="noConversion"/>
  </si>
  <si>
    <t xml:space="preserve">Particle geometry </t>
    <phoneticPr fontId="4" type="noConversion"/>
  </si>
  <si>
    <t>V_T/cm3</t>
    <phoneticPr fontId="4" type="noConversion"/>
  </si>
  <si>
    <t>Radius(or half length)</t>
    <phoneticPr fontId="4" type="noConversion"/>
  </si>
  <si>
    <t>Unit cell volume</t>
    <phoneticPr fontId="4" type="noConversion"/>
  </si>
  <si>
    <r>
      <t>R_ohm/</t>
    </r>
    <r>
      <rPr>
        <b/>
        <sz val="11"/>
        <color theme="1"/>
        <rFont val="돋움"/>
        <family val="3"/>
        <charset val="129"/>
      </rPr>
      <t>Ω</t>
    </r>
    <phoneticPr fontId="4" type="noConversion"/>
  </si>
  <si>
    <r>
      <t>R_ct/</t>
    </r>
    <r>
      <rPr>
        <b/>
        <sz val="11"/>
        <color theme="1"/>
        <rFont val="돋움"/>
        <family val="3"/>
        <charset val="129"/>
      </rPr>
      <t>Ω</t>
    </r>
    <r>
      <rPr>
        <b/>
        <sz val="11"/>
        <color theme="1"/>
        <rFont val="Calibri"/>
        <family val="2"/>
      </rPr>
      <t>.cm2</t>
    </r>
    <phoneticPr fontId="4" type="noConversion"/>
  </si>
  <si>
    <r>
      <t>R_ct/</t>
    </r>
    <r>
      <rPr>
        <b/>
        <sz val="11"/>
        <color theme="1"/>
        <rFont val="돋움"/>
        <family val="3"/>
        <charset val="129"/>
      </rPr>
      <t>Ω</t>
    </r>
    <phoneticPr fontId="4" type="noConversion"/>
  </si>
  <si>
    <t>Mw</t>
    <phoneticPr fontId="4" type="noConversion"/>
  </si>
  <si>
    <t>density</t>
    <phoneticPr fontId="4" type="noConversion"/>
  </si>
  <si>
    <t>C_dl/
F.cm-2</t>
    <phoneticPr fontId="4" type="noConversion"/>
  </si>
  <si>
    <t>R_m/
Ω.cm-1</t>
    <phoneticPr fontId="4" type="noConversion"/>
  </si>
  <si>
    <t>R_m/Ω</t>
    <phoneticPr fontId="4" type="noConversion"/>
  </si>
  <si>
    <t>R_ion
/Ω</t>
    <phoneticPr fontId="4" type="noConversion"/>
  </si>
  <si>
    <t>R_eon/
Ω</t>
    <phoneticPr fontId="4" type="noConversion"/>
  </si>
  <si>
    <t>C_i+C_d
/F.cm-3</t>
    <phoneticPr fontId="4" type="noConversion"/>
  </si>
  <si>
    <t>C_i+C_d
/F</t>
    <phoneticPr fontId="4" type="noConversion"/>
  </si>
  <si>
    <r>
      <t>R_d/</t>
    </r>
    <r>
      <rPr>
        <b/>
        <sz val="11"/>
        <color theme="1"/>
        <rFont val="돋움"/>
        <family val="3"/>
        <charset val="129"/>
      </rPr>
      <t>Ω</t>
    </r>
    <phoneticPr fontId="4" type="noConversion"/>
  </si>
  <si>
    <r>
      <t>R_i
/</t>
    </r>
    <r>
      <rPr>
        <b/>
        <sz val="11"/>
        <color theme="1"/>
        <rFont val="돋움"/>
        <family val="3"/>
        <charset val="129"/>
      </rPr>
      <t>Ω</t>
    </r>
    <r>
      <rPr>
        <b/>
        <sz val="11"/>
        <color theme="1"/>
        <rFont val="Calibri"/>
        <family val="2"/>
      </rPr>
      <t>.cm^3</t>
    </r>
    <phoneticPr fontId="4" type="noConversion"/>
  </si>
  <si>
    <t>S_eff/
cm2</t>
    <phoneticPr fontId="4" type="noConversion"/>
  </si>
  <si>
    <t>r/cm 
(or l/cm)</t>
    <phoneticPr fontId="4" type="noConversion"/>
  </si>
  <si>
    <t>V_p
/cm3</t>
    <phoneticPr fontId="4" type="noConversion"/>
  </si>
  <si>
    <t>S_p
/cm2</t>
    <phoneticPr fontId="4" type="noConversion"/>
  </si>
  <si>
    <t>Ci/
F cm-3</t>
    <phoneticPr fontId="4" type="noConversion"/>
  </si>
  <si>
    <t>C_d/
F.cm-3</t>
    <phoneticPr fontId="4" type="noConversion"/>
  </si>
  <si>
    <t>Ohmic</t>
    <phoneticPr fontId="4" type="noConversion"/>
  </si>
  <si>
    <t>TL resistance</t>
    <phoneticPr fontId="4" type="noConversion"/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</si>
  <si>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맑은 고딕"/>
        <family val="2"/>
        <scheme val="minor"/>
      </rPr>
      <t>_eon
/</t>
    </r>
    <r>
      <rPr>
        <b/>
        <sz val="9"/>
        <color theme="1"/>
        <rFont val="맑은 고딕"/>
        <family val="3"/>
        <charset val="129"/>
        <scheme val="minor"/>
      </rPr>
      <t>Ω-1.cm-1</t>
    </r>
    <phoneticPr fontId="4" type="noConversion"/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</si>
  <si>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맑은 고딕"/>
        <family val="2"/>
        <scheme val="minor"/>
      </rPr>
      <t>_ion
/</t>
    </r>
    <r>
      <rPr>
        <b/>
        <sz val="11"/>
        <color theme="1"/>
        <rFont val="돋움"/>
        <family val="3"/>
        <charset val="129"/>
      </rPr>
      <t>Ω</t>
    </r>
    <r>
      <rPr>
        <b/>
        <sz val="11"/>
        <color theme="1"/>
        <rFont val="Calibri"/>
        <family val="2"/>
      </rPr>
      <t>-1.cm-1</t>
    </r>
    <phoneticPr fontId="4" type="noConversion"/>
  </si>
  <si>
    <r>
      <t xml:space="preserve">dU/dc/ </t>
    </r>
    <r>
      <rPr>
        <b/>
        <sz val="9"/>
        <color theme="1"/>
        <rFont val="맑은 고딕"/>
        <family val="3"/>
        <charset val="129"/>
        <scheme val="minor"/>
      </rPr>
      <t>(V.cm3.mol</t>
    </r>
    <r>
      <rPr>
        <b/>
        <vertAlign val="superscript"/>
        <sz val="9"/>
        <color theme="1"/>
        <rFont val="맑은 고딕"/>
        <family val="3"/>
        <charset val="129"/>
        <scheme val="minor"/>
      </rPr>
      <t>-1</t>
    </r>
    <r>
      <rPr>
        <b/>
        <sz val="9"/>
        <color theme="1"/>
        <rFont val="맑은 고딕"/>
        <family val="3"/>
        <charset val="129"/>
        <scheme val="minor"/>
      </rPr>
      <t>)</t>
    </r>
    <phoneticPr fontId="4" type="noConversion"/>
  </si>
  <si>
    <t>Impedance and related material parameters</t>
    <phoneticPr fontId="4" type="noConversion"/>
  </si>
  <si>
    <r>
      <t>D/
cm</t>
    </r>
    <r>
      <rPr>
        <b/>
        <vertAlign val="superscript"/>
        <sz val="11"/>
        <color theme="1"/>
        <rFont val="맑은 고딕"/>
        <family val="3"/>
        <charset val="129"/>
        <scheme val="minor"/>
      </rPr>
      <t>2</t>
    </r>
    <r>
      <rPr>
        <b/>
        <sz val="11"/>
        <color theme="1"/>
        <rFont val="맑은 고딕"/>
        <family val="2"/>
        <scheme val="minor"/>
      </rPr>
      <t>s</t>
    </r>
    <r>
      <rPr>
        <b/>
        <vertAlign val="superscript"/>
        <sz val="11"/>
        <color theme="1"/>
        <rFont val="맑은 고딕"/>
        <family val="3"/>
        <charset val="129"/>
        <scheme val="minor"/>
      </rPr>
      <t>-1</t>
    </r>
    <phoneticPr fontId="4" type="noConversion"/>
  </si>
  <si>
    <t xml:space="preserve"> </t>
  </si>
  <si>
    <t>Diffusion and Intercalation</t>
  </si>
  <si>
    <t>Charge transfer</t>
  </si>
  <si>
    <t>Z'0</t>
  </si>
  <si>
    <t>C'0</t>
  </si>
  <si>
    <t xml:space="preserve">Diffusion </t>
  </si>
  <si>
    <t>Full TLM</t>
  </si>
  <si>
    <t>Z'0_Bisquert</t>
  </si>
  <si>
    <t>C'0_Bisquert</t>
  </si>
  <si>
    <t>Z'0_Bisquert_diffusion</t>
  </si>
  <si>
    <t>C'0_Bisquert_diffusion</t>
  </si>
  <si>
    <t>Z'0_final</t>
  </si>
  <si>
    <t>C'0_final</t>
  </si>
  <si>
    <t>Limiting resistances and capacitances</t>
  </si>
  <si>
    <r>
      <t>R_i/</t>
    </r>
    <r>
      <rPr>
        <b/>
        <sz val="11"/>
        <color theme="1"/>
        <rFont val="돋움"/>
        <family val="3"/>
        <charset val="129"/>
      </rPr>
      <t>Ω</t>
    </r>
    <phoneticPr fontId="4" type="noConversion"/>
  </si>
  <si>
    <r>
      <t>Q_w/
F.cm</t>
    </r>
    <r>
      <rPr>
        <b/>
        <vertAlign val="superscript"/>
        <sz val="11"/>
        <color theme="1"/>
        <rFont val="맑은 고딕"/>
        <family val="3"/>
        <charset val="129"/>
        <scheme val="minor"/>
      </rPr>
      <t>-2</t>
    </r>
    <phoneticPr fontId="4" type="noConversion"/>
  </si>
  <si>
    <t>C_dl/F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</si>
</sst>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00_ "/>
    <numFmt numFmtId="177" formatCode="0.000E+00"/>
    <numFmt numFmtId="178" formatCode="0.00_ "/>
    <numFmt numFmtId="179" formatCode="0.000_ "/>
    <numFmt numFmtId="180" formatCode="0.0000000_ "/>
    <numFmt numFmtId="181" formatCode="0_ "/>
    <numFmt numFmtId="182" formatCode="0.00000_ "/>
  </numFmts>
  <fonts count="1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1"/>
      <name val="Calibri"/>
      <family val="2"/>
    </font>
    <font>
      <b/>
      <sz val="11"/>
      <color rgb="FFC0000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돋움"/>
      <family val="3"/>
      <charset val="129"/>
    </font>
    <font>
      <b/>
      <sz val="1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Symbol"/>
      <family val="1"/>
      <charset val="2"/>
    </font>
    <font>
      <b/>
      <sz val="9"/>
      <color theme="1"/>
      <name val="맑은 고딕"/>
      <family val="3"/>
      <charset val="129"/>
      <scheme val="minor"/>
    </font>
    <font>
      <b/>
      <sz val="14"/>
      <color theme="1"/>
      <name val="맑은 고딕"/>
      <family val="2"/>
      <scheme val="minor"/>
    </font>
    <font>
      <b/>
      <sz val="14"/>
      <color theme="1"/>
      <name val="맑은 고딕"/>
      <family val="3"/>
      <charset val="129"/>
      <scheme val="minor"/>
    </font>
    <font>
      <b/>
      <vertAlign val="superscript"/>
      <sz val="9"/>
      <color theme="1"/>
      <name val="맑은 고딕"/>
      <family val="3"/>
      <charset val="129"/>
      <scheme val="minor"/>
    </font>
    <font>
      <b/>
      <vertAlign val="superscript"/>
      <sz val="11"/>
      <color theme="1"/>
      <name val="맑은 고딕"/>
      <family val="3"/>
      <charset val="129"/>
      <scheme val="minor"/>
    </font>
    <font>
      <b/>
      <sz val="11"/>
      <color rgb="FF7030A0"/>
      <name val="맑은 고딕"/>
      <family val="2"/>
      <scheme val="minor"/>
    </font>
    <font>
      <b/>
      <sz val="11"/>
      <color rgb="FFFF0000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3" borderId="1" xfId="0" applyNumberFormat="1" applyFont="1" applyFill="1" applyBorder="1"/>
    <xf numFmtId="0" fontId="1" fillId="2" borderId="1" xfId="0" applyNumberFormat="1" applyFont="1" applyFill="1" applyBorder="1"/>
    <xf numFmtId="0" fontId="1" fillId="4" borderId="1" xfId="0" applyNumberFormat="1" applyFont="1" applyFill="1" applyBorder="1"/>
    <xf numFmtId="0" fontId="1" fillId="6" borderId="1" xfId="0" applyNumberFormat="1" applyFont="1" applyFill="1" applyBorder="1"/>
    <xf numFmtId="0" fontId="1" fillId="4" borderId="1" xfId="0" applyNumberFormat="1" applyFont="1" applyFill="1" applyBorder="1" applyAlignment="1">
      <alignment wrapText="1"/>
    </xf>
    <xf numFmtId="0" fontId="1" fillId="2" borderId="1" xfId="0" applyNumberFormat="1" applyFont="1" applyFill="1" applyBorder="1" applyAlignment="1">
      <alignment wrapText="1"/>
    </xf>
    <xf numFmtId="0" fontId="3" fillId="2" borderId="1" xfId="0" applyNumberFormat="1" applyFont="1" applyFill="1" applyBorder="1" applyAlignment="1">
      <alignment wrapText="1"/>
    </xf>
    <xf numFmtId="11" fontId="1" fillId="2" borderId="1" xfId="0" applyNumberFormat="1" applyFont="1" applyFill="1" applyBorder="1" applyAlignment="1">
      <alignment wrapText="1"/>
    </xf>
    <xf numFmtId="11" fontId="3" fillId="2" borderId="1" xfId="0" applyNumberFormat="1" applyFont="1" applyFill="1" applyBorder="1" applyAlignment="1">
      <alignment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wrapText="1"/>
    </xf>
    <xf numFmtId="178" fontId="1" fillId="2" borderId="1" xfId="0" applyNumberFormat="1" applyFont="1" applyFill="1" applyBorder="1" applyAlignment="1">
      <alignment wrapText="1"/>
    </xf>
    <xf numFmtId="176" fontId="1" fillId="2" borderId="1" xfId="0" applyNumberFormat="1" applyFont="1" applyFill="1" applyBorder="1" applyAlignment="1">
      <alignment wrapText="1"/>
    </xf>
    <xf numFmtId="0" fontId="1" fillId="4" borderId="5" xfId="0" applyNumberFormat="1" applyFont="1" applyFill="1" applyBorder="1" applyAlignment="1">
      <alignment wrapText="1"/>
    </xf>
    <xf numFmtId="0" fontId="1" fillId="2" borderId="5" xfId="0" applyNumberFormat="1" applyFont="1" applyFill="1" applyBorder="1" applyAlignment="1">
      <alignment wrapText="1"/>
    </xf>
    <xf numFmtId="0" fontId="3" fillId="2" borderId="5" xfId="0" applyNumberFormat="1" applyFont="1" applyFill="1" applyBorder="1" applyAlignment="1">
      <alignment wrapText="1"/>
    </xf>
    <xf numFmtId="11" fontId="1" fillId="2" borderId="5" xfId="0" applyNumberFormat="1" applyFont="1" applyFill="1" applyBorder="1" applyAlignment="1">
      <alignment wrapText="1"/>
    </xf>
    <xf numFmtId="11" fontId="3" fillId="2" borderId="5" xfId="0" applyNumberFormat="1" applyFont="1" applyFill="1" applyBorder="1" applyAlignment="1">
      <alignment wrapText="1"/>
    </xf>
    <xf numFmtId="11" fontId="6" fillId="2" borderId="5" xfId="0" applyNumberFormat="1" applyFont="1" applyFill="1" applyBorder="1" applyAlignment="1">
      <alignment wrapText="1"/>
    </xf>
    <xf numFmtId="0" fontId="1" fillId="4" borderId="6" xfId="0" applyNumberFormat="1" applyFont="1" applyFill="1" applyBorder="1"/>
    <xf numFmtId="0" fontId="1" fillId="2" borderId="7" xfId="0" applyNumberFormat="1" applyFont="1" applyFill="1" applyBorder="1" applyAlignment="1">
      <alignment wrapText="1"/>
    </xf>
    <xf numFmtId="0" fontId="1" fillId="2" borderId="8" xfId="0" applyNumberFormat="1" applyFont="1" applyFill="1" applyBorder="1" applyAlignment="1">
      <alignment wrapText="1"/>
    </xf>
    <xf numFmtId="0" fontId="1" fillId="2" borderId="10" xfId="0" applyNumberFormat="1" applyFont="1" applyFill="1" applyBorder="1" applyAlignment="1">
      <alignment wrapText="1"/>
    </xf>
    <xf numFmtId="0" fontId="1" fillId="4" borderId="11" xfId="0" applyNumberFormat="1" applyFont="1" applyFill="1" applyBorder="1" applyAlignment="1">
      <alignment wrapText="1"/>
    </xf>
    <xf numFmtId="0" fontId="1" fillId="4" borderId="11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wrapText="1"/>
    </xf>
    <xf numFmtId="0" fontId="1" fillId="4" borderId="14" xfId="0" applyNumberFormat="1" applyFont="1" applyFill="1" applyBorder="1" applyAlignment="1">
      <alignment wrapText="1"/>
    </xf>
    <xf numFmtId="0" fontId="1" fillId="2" borderId="15" xfId="0" applyNumberFormat="1" applyFont="1" applyFill="1" applyBorder="1" applyAlignment="1">
      <alignment wrapText="1"/>
    </xf>
    <xf numFmtId="0" fontId="6" fillId="2" borderId="15" xfId="0" applyNumberFormat="1" applyFont="1" applyFill="1" applyBorder="1" applyAlignment="1">
      <alignment wrapText="1"/>
    </xf>
    <xf numFmtId="11" fontId="1" fillId="2" borderId="15" xfId="0" applyNumberFormat="1" applyFont="1" applyFill="1" applyBorder="1" applyAlignment="1">
      <alignment wrapText="1"/>
    </xf>
    <xf numFmtId="178" fontId="1" fillId="2" borderId="15" xfId="0" applyNumberFormat="1" applyFont="1" applyFill="1" applyBorder="1" applyAlignment="1">
      <alignment wrapText="1"/>
    </xf>
    <xf numFmtId="176" fontId="1" fillId="2" borderId="15" xfId="0" applyNumberFormat="1" applyFont="1" applyFill="1" applyBorder="1" applyAlignment="1">
      <alignment wrapText="1"/>
    </xf>
    <xf numFmtId="0" fontId="1" fillId="2" borderId="16" xfId="0" applyNumberFormat="1" applyFont="1" applyFill="1" applyBorder="1" applyAlignment="1">
      <alignment wrapText="1"/>
    </xf>
    <xf numFmtId="0" fontId="14" fillId="5" borderId="7" xfId="0" applyNumberFormat="1" applyFont="1" applyFill="1" applyBorder="1" applyAlignment="1">
      <alignment wrapText="1"/>
    </xf>
    <xf numFmtId="0" fontId="14" fillId="5" borderId="8" xfId="0" applyNumberFormat="1" applyFont="1" applyFill="1" applyBorder="1" applyAlignment="1">
      <alignment wrapText="1"/>
    </xf>
    <xf numFmtId="0" fontId="14" fillId="5" borderId="9" xfId="0" applyNumberFormat="1" applyFont="1" applyFill="1" applyBorder="1" applyAlignment="1">
      <alignment wrapText="1"/>
    </xf>
    <xf numFmtId="0" fontId="14" fillId="3" borderId="7" xfId="0" applyNumberFormat="1" applyFont="1" applyFill="1" applyBorder="1" applyAlignment="1">
      <alignment wrapText="1"/>
    </xf>
    <xf numFmtId="0" fontId="14" fillId="3" borderId="8" xfId="0" applyNumberFormat="1" applyFont="1" applyFill="1" applyBorder="1" applyAlignment="1">
      <alignment wrapText="1"/>
    </xf>
    <xf numFmtId="0" fontId="14" fillId="3" borderId="9" xfId="0" applyNumberFormat="1" applyFont="1" applyFill="1" applyBorder="1" applyAlignment="1">
      <alignment wrapText="1"/>
    </xf>
    <xf numFmtId="0" fontId="14" fillId="4" borderId="8" xfId="0" applyNumberFormat="1" applyFont="1" applyFill="1" applyBorder="1" applyAlignment="1">
      <alignment wrapText="1"/>
    </xf>
    <xf numFmtId="0" fontId="14" fillId="4" borderId="9" xfId="0" applyNumberFormat="1" applyFont="1" applyFill="1" applyBorder="1" applyAlignment="1">
      <alignment wrapText="1"/>
    </xf>
    <xf numFmtId="0" fontId="14" fillId="6" borderId="1" xfId="0" applyNumberFormat="1" applyFont="1" applyFill="1" applyBorder="1" applyAlignment="1">
      <alignment horizontal="center" vertical="center" wrapText="1"/>
    </xf>
    <xf numFmtId="0" fontId="14" fillId="5" borderId="2" xfId="0" applyNumberFormat="1" applyFont="1" applyFill="1" applyBorder="1" applyAlignment="1">
      <alignment horizontal="center" vertical="center" wrapText="1"/>
    </xf>
    <xf numFmtId="0" fontId="14" fillId="3" borderId="1" xfId="0" applyNumberFormat="1" applyFont="1" applyFill="1" applyBorder="1" applyAlignment="1">
      <alignment horizontal="center" vertical="center" wrapText="1"/>
    </xf>
    <xf numFmtId="0" fontId="14" fillId="4" borderId="1" xfId="0" applyNumberFormat="1" applyFont="1" applyFill="1" applyBorder="1" applyAlignment="1">
      <alignment horizontal="center" vertical="center" wrapText="1"/>
    </xf>
    <xf numFmtId="0" fontId="14" fillId="5" borderId="1" xfId="0" applyNumberFormat="1" applyFont="1" applyFill="1" applyBorder="1" applyAlignment="1">
      <alignment horizontal="center" vertical="center" wrapText="1"/>
    </xf>
    <xf numFmtId="0" fontId="14" fillId="6" borderId="1" xfId="0" applyNumberFormat="1" applyFont="1" applyFill="1" applyBorder="1" applyAlignment="1">
      <alignment wrapText="1"/>
    </xf>
    <xf numFmtId="177" fontId="14" fillId="6" borderId="1" xfId="0" applyNumberFormat="1" applyFont="1" applyFill="1" applyBorder="1" applyAlignment="1">
      <alignment wrapText="1"/>
    </xf>
    <xf numFmtId="178" fontId="14" fillId="6" borderId="1" xfId="0" applyNumberFormat="1" applyFont="1" applyFill="1" applyBorder="1" applyAlignment="1">
      <alignment wrapText="1"/>
    </xf>
    <xf numFmtId="179" fontId="14" fillId="6" borderId="1" xfId="0" applyNumberFormat="1" applyFont="1" applyFill="1" applyBorder="1" applyAlignment="1">
      <alignment wrapText="1"/>
    </xf>
    <xf numFmtId="0" fontId="14" fillId="5" borderId="1" xfId="0" applyNumberFormat="1" applyFont="1" applyFill="1" applyBorder="1" applyAlignment="1">
      <alignment wrapText="1"/>
    </xf>
    <xf numFmtId="0" fontId="14" fillId="3" borderId="1" xfId="0" applyNumberFormat="1" applyFont="1" applyFill="1" applyBorder="1" applyAlignment="1">
      <alignment wrapText="1"/>
    </xf>
    <xf numFmtId="180" fontId="14" fillId="3" borderId="1" xfId="0" applyNumberFormat="1" applyFont="1" applyFill="1" applyBorder="1" applyAlignment="1">
      <alignment wrapText="1"/>
    </xf>
    <xf numFmtId="181" fontId="14" fillId="3" borderId="1" xfId="0" applyNumberFormat="1" applyFont="1" applyFill="1" applyBorder="1" applyAlignment="1">
      <alignment wrapText="1"/>
    </xf>
    <xf numFmtId="179" fontId="14" fillId="3" borderId="1" xfId="0" applyNumberFormat="1" applyFont="1" applyFill="1" applyBorder="1" applyAlignment="1">
      <alignment wrapText="1"/>
    </xf>
    <xf numFmtId="182" fontId="14" fillId="3" borderId="1" xfId="0" applyNumberFormat="1" applyFont="1" applyFill="1" applyBorder="1" applyAlignment="1">
      <alignment wrapText="1"/>
    </xf>
    <xf numFmtId="0" fontId="14" fillId="4" borderId="1" xfId="0" applyNumberFormat="1" applyFont="1" applyFill="1" applyBorder="1" applyAlignment="1">
      <alignment wrapText="1"/>
    </xf>
    <xf numFmtId="177" fontId="14" fillId="4" borderId="1" xfId="0" applyNumberFormat="1" applyFont="1" applyFill="1" applyBorder="1" applyAlignment="1">
      <alignment wrapText="1"/>
    </xf>
    <xf numFmtId="0" fontId="14" fillId="6" borderId="15" xfId="0" applyNumberFormat="1" applyFont="1" applyFill="1" applyBorder="1" applyAlignment="1">
      <alignment wrapText="1"/>
    </xf>
    <xf numFmtId="177" fontId="14" fillId="6" borderId="15" xfId="0" applyNumberFormat="1" applyFont="1" applyFill="1" applyBorder="1" applyAlignment="1">
      <alignment wrapText="1"/>
    </xf>
    <xf numFmtId="178" fontId="14" fillId="6" borderId="15" xfId="0" applyNumberFormat="1" applyFont="1" applyFill="1" applyBorder="1" applyAlignment="1">
      <alignment wrapText="1"/>
    </xf>
    <xf numFmtId="179" fontId="14" fillId="6" borderId="15" xfId="0" applyNumberFormat="1" applyFont="1" applyFill="1" applyBorder="1" applyAlignment="1">
      <alignment wrapText="1"/>
    </xf>
    <xf numFmtId="0" fontId="14" fillId="5" borderId="15" xfId="0" applyNumberFormat="1" applyFont="1" applyFill="1" applyBorder="1" applyAlignment="1">
      <alignment wrapText="1"/>
    </xf>
    <xf numFmtId="0" fontId="14" fillId="3" borderId="15" xfId="0" applyNumberFormat="1" applyFont="1" applyFill="1" applyBorder="1" applyAlignment="1">
      <alignment wrapText="1"/>
    </xf>
    <xf numFmtId="180" fontId="14" fillId="3" borderId="15" xfId="0" applyNumberFormat="1" applyFont="1" applyFill="1" applyBorder="1" applyAlignment="1">
      <alignment wrapText="1"/>
    </xf>
    <xf numFmtId="179" fontId="14" fillId="3" borderId="15" xfId="0" applyNumberFormat="1" applyFont="1" applyFill="1" applyBorder="1" applyAlignment="1">
      <alignment wrapText="1"/>
    </xf>
    <xf numFmtId="182" fontId="14" fillId="3" borderId="15" xfId="0" applyNumberFormat="1" applyFont="1" applyFill="1" applyBorder="1" applyAlignment="1">
      <alignment wrapText="1"/>
    </xf>
    <xf numFmtId="181" fontId="14" fillId="3" borderId="15" xfId="0" applyNumberFormat="1" applyFont="1" applyFill="1" applyBorder="1" applyAlignment="1">
      <alignment wrapText="1"/>
    </xf>
    <xf numFmtId="0" fontId="14" fillId="4" borderId="15" xfId="0" applyNumberFormat="1" applyFont="1" applyFill="1" applyBorder="1" applyAlignment="1">
      <alignment wrapText="1"/>
    </xf>
    <xf numFmtId="0" fontId="14" fillId="6" borderId="5" xfId="0" applyNumberFormat="1" applyFont="1" applyFill="1" applyBorder="1" applyAlignment="1">
      <alignment wrapText="1"/>
    </xf>
    <xf numFmtId="0" fontId="14" fillId="5" borderId="5" xfId="0" applyNumberFormat="1" applyFont="1" applyFill="1" applyBorder="1" applyAlignment="1">
      <alignment wrapText="1"/>
    </xf>
    <xf numFmtId="0" fontId="14" fillId="3" borderId="5" xfId="0" applyNumberFormat="1" applyFont="1" applyFill="1" applyBorder="1" applyAlignment="1">
      <alignment wrapText="1"/>
    </xf>
    <xf numFmtId="0" fontId="14" fillId="4" borderId="5" xfId="0" applyNumberFormat="1" applyFont="1" applyFill="1" applyBorder="1" applyAlignment="1">
      <alignment wrapText="1"/>
    </xf>
    <xf numFmtId="0" fontId="14" fillId="2" borderId="1" xfId="0" applyNumberFormat="1" applyFont="1" applyFill="1" applyBorder="1" applyAlignment="1">
      <alignment wrapText="1"/>
    </xf>
    <xf numFmtId="0" fontId="14" fillId="2" borderId="15" xfId="0" applyNumberFormat="1" applyFont="1" applyFill="1" applyBorder="1" applyAlignment="1">
      <alignment wrapText="1"/>
    </xf>
    <xf numFmtId="178" fontId="14" fillId="2" borderId="1" xfId="0" applyNumberFormat="1" applyFont="1" applyFill="1" applyBorder="1" applyAlignment="1">
      <alignment wrapText="1"/>
    </xf>
    <xf numFmtId="178" fontId="14" fillId="2" borderId="15" xfId="0" applyNumberFormat="1" applyFont="1" applyFill="1" applyBorder="1" applyAlignment="1">
      <alignment wrapText="1"/>
    </xf>
    <xf numFmtId="0" fontId="1" fillId="3" borderId="3" xfId="0" applyNumberFormat="1" applyFont="1" applyFill="1" applyBorder="1"/>
    <xf numFmtId="0" fontId="1" fillId="3" borderId="3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1" fontId="1" fillId="3" borderId="1" xfId="0" applyNumberFormat="1" applyFont="1" applyFill="1" applyBorder="1"/>
    <xf numFmtId="0" fontId="1" fillId="3" borderId="2" xfId="0" applyNumberFormat="1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10" fillId="3" borderId="17" xfId="0" applyNumberFormat="1" applyFont="1" applyFill="1" applyBorder="1" applyAlignment="1">
      <alignment horizontal="center"/>
    </xf>
    <xf numFmtId="0" fontId="10" fillId="3" borderId="4" xfId="0" applyNumberFormat="1" applyFont="1" applyFill="1" applyBorder="1" applyAlignment="1">
      <alignment horizontal="center"/>
    </xf>
    <xf numFmtId="0" fontId="10" fillId="3" borderId="3" xfId="0" applyNumberFormat="1" applyFont="1" applyFill="1" applyBorder="1" applyAlignment="1">
      <alignment horizontal="center"/>
    </xf>
    <xf numFmtId="0" fontId="1" fillId="3" borderId="17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7" fillId="2" borderId="4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4" fillId="6" borderId="7" xfId="0" applyNumberFormat="1" applyFont="1" applyFill="1" applyBorder="1" applyAlignment="1">
      <alignment horizontal="center"/>
    </xf>
    <xf numFmtId="0" fontId="14" fillId="6" borderId="8" xfId="0" applyNumberFormat="1" applyFont="1" applyFill="1" applyBorder="1" applyAlignment="1">
      <alignment horizontal="center"/>
    </xf>
    <xf numFmtId="0" fontId="14" fillId="6" borderId="9" xfId="0" applyNumberFormat="1" applyFont="1" applyFill="1" applyBorder="1" applyAlignment="1">
      <alignment horizontal="center"/>
    </xf>
    <xf numFmtId="0" fontId="14" fillId="6" borderId="1" xfId="0" applyNumberFormat="1" applyFont="1" applyFill="1" applyBorder="1" applyAlignment="1">
      <alignment horizontal="center" wrapText="1"/>
    </xf>
    <xf numFmtId="0" fontId="14" fillId="5" borderId="2" xfId="0" applyNumberFormat="1" applyFont="1" applyFill="1" applyBorder="1" applyAlignment="1">
      <alignment horizontal="center" wrapText="1"/>
    </xf>
    <xf numFmtId="0" fontId="14" fillId="5" borderId="4" xfId="0" applyNumberFormat="1" applyFont="1" applyFill="1" applyBorder="1" applyAlignment="1">
      <alignment horizontal="center" wrapText="1"/>
    </xf>
    <xf numFmtId="0" fontId="14" fillId="5" borderId="3" xfId="0" applyNumberFormat="1" applyFont="1" applyFill="1" applyBorder="1" applyAlignment="1">
      <alignment horizontal="center" wrapText="1"/>
    </xf>
    <xf numFmtId="0" fontId="14" fillId="4" borderId="4" xfId="0" applyNumberFormat="1" applyFont="1" applyFill="1" applyBorder="1" applyAlignment="1">
      <alignment horizontal="center" wrapText="1"/>
    </xf>
    <xf numFmtId="0" fontId="14" fillId="4" borderId="3" xfId="0" applyNumberFormat="1" applyFont="1" applyFill="1" applyBorder="1" applyAlignment="1">
      <alignment horizontal="center" wrapText="1"/>
    </xf>
    <xf numFmtId="0" fontId="10" fillId="2" borderId="2" xfId="0" applyNumberFormat="1" applyFont="1" applyFill="1" applyBorder="1" applyAlignment="1">
      <alignment horizontal="center" wrapText="1"/>
    </xf>
    <xf numFmtId="0" fontId="11" fillId="2" borderId="4" xfId="0" applyNumberFormat="1" applyFont="1" applyFill="1" applyBorder="1" applyAlignment="1">
      <alignment horizontal="center" wrapText="1"/>
    </xf>
    <xf numFmtId="0" fontId="11" fillId="2" borderId="12" xfId="0" applyNumberFormat="1" applyFont="1" applyFill="1" applyBorder="1" applyAlignment="1">
      <alignment horizontal="center" wrapText="1"/>
    </xf>
    <xf numFmtId="0" fontId="14" fillId="6" borderId="1" xfId="0" applyNumberFormat="1" applyFont="1" applyFill="1" applyBorder="1" applyAlignment="1">
      <alignment horizontal="center" vertical="center" wrapText="1"/>
    </xf>
    <xf numFmtId="0" fontId="14" fillId="3" borderId="2" xfId="0" applyNumberFormat="1" applyFont="1" applyFill="1" applyBorder="1" applyAlignment="1">
      <alignment horizontal="center" wrapText="1"/>
    </xf>
    <xf numFmtId="0" fontId="14" fillId="3" borderId="4" xfId="0" applyNumberFormat="1" applyFont="1" applyFill="1" applyBorder="1" applyAlignment="1">
      <alignment horizontal="center" wrapText="1"/>
    </xf>
    <xf numFmtId="0" fontId="15" fillId="2" borderId="1" xfId="0" applyNumberFormat="1" applyFont="1" applyFill="1" applyBorder="1" applyAlignment="1">
      <alignment wrapText="1"/>
    </xf>
    <xf numFmtId="0" fontId="15" fillId="2" borderId="15" xfId="0" applyNumberFormat="1" applyFont="1" applyFill="1" applyBorder="1" applyAlignment="1">
      <alignment wrapText="1"/>
    </xf>
    <xf numFmtId="11" fontId="15" fillId="2" borderId="1" xfId="0" applyNumberFormat="1" applyFont="1" applyFill="1" applyBorder="1" applyAlignment="1">
      <alignment wrapText="1"/>
    </xf>
    <xf numFmtId="11" fontId="15" fillId="2" borderId="15" xfId="0" applyNumberFormat="1" applyFont="1" applyFill="1" applyBorder="1" applyAlignment="1">
      <alignment wrapText="1"/>
    </xf>
    <xf numFmtId="179" fontId="15" fillId="2" borderId="1" xfId="0" applyNumberFormat="1" applyFont="1" applyFill="1" applyBorder="1" applyAlignment="1">
      <alignment wrapText="1"/>
    </xf>
    <xf numFmtId="179" fontId="15" fillId="2" borderId="15" xfId="0" applyNumberFormat="1" applyFont="1" applyFill="1" applyBorder="1" applyAlignment="1">
      <alignment wrapText="1"/>
    </xf>
    <xf numFmtId="178" fontId="15" fillId="2" borderId="1" xfId="0" applyNumberFormat="1" applyFont="1" applyFill="1" applyBorder="1" applyAlignment="1">
      <alignment wrapText="1"/>
    </xf>
    <xf numFmtId="178" fontId="15" fillId="2" borderId="15" xfId="0" applyNumberFormat="1" applyFont="1" applyFill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8</xdr:row>
      <xdr:rowOff>114300</xdr:rowOff>
    </xdr:from>
    <xdr:to>
      <xdr:col>9</xdr:col>
      <xdr:colOff>835472</xdr:colOff>
      <xdr:row>25</xdr:row>
      <xdr:rowOff>5259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" y="2689860"/>
          <a:ext cx="6580952" cy="3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F30"/>
  <sheetViews>
    <sheetView tabSelected="1" workbookViewId="0">
      <selection activeCell="E17" sqref="E17"/>
    </sheetView>
  </sheetViews>
  <sheetFormatPr defaultColWidth="9.09765625" defaultRowHeight="17.399999999999999" x14ac:dyDescent="0.4"/>
  <cols>
    <col min="1" max="1" width="11.3984375" style="5" customWidth="1"/>
    <col min="2" max="2" width="7.296875" style="49" customWidth="1"/>
    <col min="3" max="3" width="7.3984375" style="49" customWidth="1"/>
    <col min="4" max="4" width="4.296875" style="49" customWidth="1"/>
    <col min="5" max="5" width="10.59765625" style="49" customWidth="1"/>
    <col min="6" max="6" width="7.8984375" style="49" customWidth="1"/>
    <col min="7" max="7" width="9.296875" style="49" customWidth="1"/>
    <col min="8" max="8" width="10.8984375" style="53" customWidth="1"/>
    <col min="9" max="9" width="10.3984375" style="53" customWidth="1"/>
    <col min="10" max="10" width="11" style="53" customWidth="1"/>
    <col min="11" max="11" width="8.59765625" style="54" customWidth="1"/>
    <col min="12" max="12" width="12.3984375" style="54" customWidth="1"/>
    <col min="13" max="13" width="10.59765625" style="54" customWidth="1"/>
    <col min="14" max="14" width="9" style="54" customWidth="1"/>
    <col min="15" max="15" width="8.69921875" style="54" customWidth="1"/>
    <col min="16" max="16" width="10.3984375" style="54" customWidth="1"/>
    <col min="17" max="17" width="10.8984375" style="59" customWidth="1"/>
    <col min="18" max="18" width="9.3984375" style="59" customWidth="1"/>
    <col min="19" max="19" width="9.59765625" style="59" customWidth="1"/>
    <col min="20" max="20" width="7.59765625" style="6" customWidth="1"/>
    <col min="21" max="21" width="8.09765625" style="6" customWidth="1"/>
    <col min="22" max="22" width="7" style="6" customWidth="1"/>
    <col min="23" max="24" width="8.09765625" style="6" customWidth="1"/>
    <col min="25" max="25" width="9.8984375" style="6" customWidth="1"/>
    <col min="26" max="26" width="9.09765625" style="6" customWidth="1"/>
    <col min="27" max="27" width="9.69921875" style="6" customWidth="1"/>
    <col min="28" max="28" width="8" style="6" customWidth="1"/>
    <col min="29" max="29" width="6.3984375" style="6" customWidth="1"/>
    <col min="30" max="30" width="9.09765625" style="6" customWidth="1"/>
    <col min="31" max="31" width="7.09765625" style="6" customWidth="1"/>
    <col min="32" max="32" width="10.8984375" style="6" customWidth="1"/>
    <col min="33" max="33" width="8.3984375" style="6" customWidth="1"/>
    <col min="34" max="34" width="8.296875" style="6" customWidth="1"/>
    <col min="35" max="35" width="6.8984375" style="6" customWidth="1"/>
    <col min="36" max="36" width="7.3984375" style="6" customWidth="1"/>
    <col min="37" max="37" width="7.09765625" style="6" customWidth="1"/>
    <col min="38" max="38" width="6.8984375" style="6" customWidth="1"/>
    <col min="39" max="39" width="5.8984375" style="6" customWidth="1"/>
    <col min="40" max="40" width="6.3984375" style="6" customWidth="1"/>
    <col min="41" max="41" width="7.09765625" style="6" customWidth="1"/>
    <col min="42" max="42" width="7" style="6" customWidth="1"/>
    <col min="43" max="43" width="7.8984375" style="6" customWidth="1"/>
    <col min="44" max="44" width="7.59765625" style="6" customWidth="1"/>
    <col min="45" max="45" width="9.8984375" style="6" customWidth="1"/>
    <col min="46" max="46" width="9.09765625" style="6"/>
    <col min="47" max="47" width="9.296875" style="6" customWidth="1"/>
    <col min="48" max="48" width="12.8984375" style="1" bestFit="1" customWidth="1"/>
    <col min="49" max="51" width="9.09765625" style="1"/>
    <col min="52" max="52" width="19" style="1" customWidth="1"/>
    <col min="53" max="53" width="17.09765625" style="1" customWidth="1"/>
    <col min="54" max="54" width="23.09765625" style="1" customWidth="1"/>
    <col min="55" max="55" width="21.8984375" style="1" customWidth="1"/>
    <col min="56" max="56" width="15" style="1" customWidth="1"/>
    <col min="57" max="57" width="12.09765625" style="1" customWidth="1"/>
    <col min="58" max="16384" width="9.09765625" style="3"/>
  </cols>
  <sheetData>
    <row r="1" spans="1:370" x14ac:dyDescent="0.4">
      <c r="A1" s="21"/>
      <c r="B1" s="95" t="s">
        <v>6</v>
      </c>
      <c r="C1" s="96"/>
      <c r="D1" s="96"/>
      <c r="E1" s="96"/>
      <c r="F1" s="96"/>
      <c r="G1" s="97"/>
      <c r="H1" s="36"/>
      <c r="I1" s="37"/>
      <c r="J1" s="38"/>
      <c r="K1" s="39"/>
      <c r="L1" s="40"/>
      <c r="M1" s="40"/>
      <c r="N1" s="41"/>
      <c r="O1" s="40"/>
      <c r="P1" s="40"/>
      <c r="Q1" s="42"/>
      <c r="R1" s="42"/>
      <c r="S1" s="43"/>
      <c r="T1" s="22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4"/>
      <c r="AV1" s="80"/>
    </row>
    <row r="2" spans="1:370" ht="21.6" customHeight="1" x14ac:dyDescent="0.45">
      <c r="A2" s="25"/>
      <c r="B2" s="98" t="s">
        <v>14</v>
      </c>
      <c r="C2" s="98"/>
      <c r="D2" s="98"/>
      <c r="E2" s="98"/>
      <c r="F2" s="98"/>
      <c r="G2" s="98"/>
      <c r="H2" s="99" t="s">
        <v>26</v>
      </c>
      <c r="I2" s="100"/>
      <c r="J2" s="101"/>
      <c r="K2" s="108" t="s">
        <v>27</v>
      </c>
      <c r="L2" s="109"/>
      <c r="M2" s="109"/>
      <c r="N2" s="109"/>
      <c r="O2" s="109"/>
      <c r="P2" s="109"/>
      <c r="Q2" s="102" t="s">
        <v>39</v>
      </c>
      <c r="R2" s="102"/>
      <c r="S2" s="103"/>
      <c r="T2" s="104" t="s">
        <v>68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6"/>
      <c r="AV2" s="87" t="s">
        <v>83</v>
      </c>
      <c r="AW2" s="88"/>
      <c r="AX2" s="88"/>
      <c r="AY2" s="88"/>
      <c r="AZ2" s="88"/>
      <c r="BA2" s="88"/>
      <c r="BB2" s="88"/>
      <c r="BC2" s="88"/>
      <c r="BD2" s="88"/>
      <c r="BE2" s="89"/>
    </row>
    <row r="3" spans="1:370" s="11" customFormat="1" ht="45.75" customHeight="1" x14ac:dyDescent="0.4">
      <c r="A3" s="26"/>
      <c r="B3" s="107" t="s">
        <v>13</v>
      </c>
      <c r="C3" s="107"/>
      <c r="D3" s="107"/>
      <c r="E3" s="44" t="s">
        <v>42</v>
      </c>
      <c r="F3" s="44" t="s">
        <v>46</v>
      </c>
      <c r="G3" s="44" t="s">
        <v>47</v>
      </c>
      <c r="H3" s="45" t="s">
        <v>19</v>
      </c>
      <c r="I3" s="45" t="s">
        <v>34</v>
      </c>
      <c r="J3" s="45" t="s">
        <v>20</v>
      </c>
      <c r="K3" s="46" t="s">
        <v>28</v>
      </c>
      <c r="L3" s="46" t="s">
        <v>11</v>
      </c>
      <c r="M3" s="46" t="s">
        <v>23</v>
      </c>
      <c r="N3" s="46" t="s">
        <v>24</v>
      </c>
      <c r="O3" s="46" t="s">
        <v>36</v>
      </c>
      <c r="P3" s="46" t="s">
        <v>38</v>
      </c>
      <c r="Q3" s="47" t="s">
        <v>41</v>
      </c>
      <c r="R3" s="47" t="s">
        <v>15</v>
      </c>
      <c r="S3" s="47" t="s">
        <v>4</v>
      </c>
      <c r="T3" s="10" t="s">
        <v>63</v>
      </c>
      <c r="U3" s="91" t="s">
        <v>64</v>
      </c>
      <c r="V3" s="94"/>
      <c r="W3" s="91" t="s">
        <v>72</v>
      </c>
      <c r="X3" s="92"/>
      <c r="Y3" s="92"/>
      <c r="Z3" s="93"/>
      <c r="AA3" s="91" t="s">
        <v>71</v>
      </c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3"/>
      <c r="AS3" s="10"/>
      <c r="AT3" s="10"/>
      <c r="AU3" s="27"/>
      <c r="AV3" s="90" t="s">
        <v>75</v>
      </c>
      <c r="AW3" s="85"/>
      <c r="AX3" s="84" t="s">
        <v>29</v>
      </c>
      <c r="AY3" s="85"/>
      <c r="AZ3" s="84" t="s">
        <v>76</v>
      </c>
      <c r="BA3" s="86"/>
      <c r="BB3" s="86"/>
      <c r="BC3" s="86"/>
      <c r="BD3" s="86"/>
      <c r="BE3" s="85"/>
    </row>
    <row r="4" spans="1:370" s="11" customFormat="1" ht="48" x14ac:dyDescent="0.4">
      <c r="A4" s="26"/>
      <c r="B4" s="44" t="s">
        <v>7</v>
      </c>
      <c r="C4" s="44" t="s">
        <v>8</v>
      </c>
      <c r="D4" s="44" t="s">
        <v>9</v>
      </c>
      <c r="E4" s="44" t="s">
        <v>12</v>
      </c>
      <c r="F4" s="44" t="s">
        <v>10</v>
      </c>
      <c r="G4" s="44" t="s">
        <v>5</v>
      </c>
      <c r="H4" s="48" t="s">
        <v>21</v>
      </c>
      <c r="I4" s="48" t="s">
        <v>35</v>
      </c>
      <c r="J4" s="48" t="s">
        <v>22</v>
      </c>
      <c r="K4" s="46" t="s">
        <v>3</v>
      </c>
      <c r="L4" s="46" t="s">
        <v>40</v>
      </c>
      <c r="M4" s="46" t="s">
        <v>25</v>
      </c>
      <c r="N4" s="46" t="s">
        <v>57</v>
      </c>
      <c r="O4" s="46"/>
      <c r="P4" s="46" t="s">
        <v>37</v>
      </c>
      <c r="Q4" s="47" t="s">
        <v>58</v>
      </c>
      <c r="R4" s="47" t="s">
        <v>59</v>
      </c>
      <c r="S4" s="47" t="s">
        <v>60</v>
      </c>
      <c r="T4" s="10" t="s">
        <v>43</v>
      </c>
      <c r="U4" s="10" t="s">
        <v>49</v>
      </c>
      <c r="V4" s="10" t="s">
        <v>50</v>
      </c>
      <c r="W4" s="10" t="s">
        <v>44</v>
      </c>
      <c r="X4" s="10" t="s">
        <v>45</v>
      </c>
      <c r="Y4" s="10" t="s">
        <v>48</v>
      </c>
      <c r="Z4" s="10" t="s">
        <v>86</v>
      </c>
      <c r="AA4" s="10" t="s">
        <v>66</v>
      </c>
      <c r="AB4" s="10" t="s">
        <v>65</v>
      </c>
      <c r="AC4" s="10" t="s">
        <v>51</v>
      </c>
      <c r="AD4" s="10" t="s">
        <v>52</v>
      </c>
      <c r="AE4" s="10" t="s">
        <v>55</v>
      </c>
      <c r="AF4" s="10" t="s">
        <v>67</v>
      </c>
      <c r="AG4" s="10" t="s">
        <v>53</v>
      </c>
      <c r="AH4" s="10" t="s">
        <v>61</v>
      </c>
      <c r="AI4" s="10" t="s">
        <v>62</v>
      </c>
      <c r="AJ4" s="10" t="s">
        <v>54</v>
      </c>
      <c r="AK4" s="10" t="s">
        <v>0</v>
      </c>
      <c r="AL4" s="10" t="s">
        <v>1</v>
      </c>
      <c r="AM4" s="10" t="s">
        <v>30</v>
      </c>
      <c r="AN4" s="10" t="s">
        <v>31</v>
      </c>
      <c r="AO4" s="10" t="s">
        <v>32</v>
      </c>
      <c r="AP4" s="10" t="s">
        <v>33</v>
      </c>
      <c r="AQ4" s="10" t="s">
        <v>56</v>
      </c>
      <c r="AR4" s="10" t="s">
        <v>84</v>
      </c>
      <c r="AS4" s="10" t="s">
        <v>85</v>
      </c>
      <c r="AT4" s="10" t="s">
        <v>2</v>
      </c>
      <c r="AU4" s="27" t="s">
        <v>69</v>
      </c>
      <c r="AV4" s="81" t="s">
        <v>73</v>
      </c>
      <c r="AW4" s="82" t="s">
        <v>74</v>
      </c>
      <c r="AX4" s="81" t="s">
        <v>73</v>
      </c>
      <c r="AY4" s="82" t="s">
        <v>74</v>
      </c>
      <c r="AZ4" s="81" t="s">
        <v>77</v>
      </c>
      <c r="BA4" s="82" t="s">
        <v>78</v>
      </c>
      <c r="BB4" s="82" t="s">
        <v>79</v>
      </c>
      <c r="BC4" s="82" t="s">
        <v>80</v>
      </c>
      <c r="BD4" s="82" t="s">
        <v>81</v>
      </c>
      <c r="BE4" s="82" t="s">
        <v>82</v>
      </c>
    </row>
    <row r="5" spans="1:370" x14ac:dyDescent="0.4">
      <c r="A5" s="25" t="s">
        <v>16</v>
      </c>
      <c r="B5" s="49">
        <v>2.8613</v>
      </c>
      <c r="C5" s="49">
        <v>14.238</v>
      </c>
      <c r="D5" s="49">
        <v>6</v>
      </c>
      <c r="E5" s="50">
        <f>(6*B5*B5*(3^(1/3))*C5/4)*(1E-24)</f>
        <v>2.5217815071816013E-22</v>
      </c>
      <c r="F5" s="51">
        <f>0.3*6.941*(6.941*0.33+54.938*0.67)+15.999*2+0.7*6.941*(58.693*0.5+58.933*0.2+54.938*0.3)+15.999*2</f>
        <v>425.34339802699998</v>
      </c>
      <c r="G5" s="52">
        <f>F5*D5/(E5*6.02*1E+23)</f>
        <v>16.810746523027323</v>
      </c>
      <c r="H5" s="53">
        <v>3.0000000000000001E-3</v>
      </c>
      <c r="I5" s="53">
        <f>H5*J5</f>
        <v>3.3000000000000004E-3</v>
      </c>
      <c r="J5" s="53">
        <v>1.1000000000000001</v>
      </c>
      <c r="K5" s="54">
        <v>3.1E-2</v>
      </c>
      <c r="L5" s="55">
        <f>K5/G5</f>
        <v>1.8440584989807723E-3</v>
      </c>
      <c r="M5" s="56">
        <f>L5/R5</f>
        <v>130440455.76151593</v>
      </c>
      <c r="N5" s="57">
        <f>M5*S5</f>
        <v>36.88116997961545</v>
      </c>
      <c r="O5" s="58">
        <f>L5/I5</f>
        <v>0.55880560575174909</v>
      </c>
      <c r="P5" s="56">
        <f>N5/L5</f>
        <v>20000.000000000004</v>
      </c>
      <c r="Q5" s="59">
        <v>1.4999999999999999E-4</v>
      </c>
      <c r="R5" s="60">
        <f>(4*PI()*Q5^3)/3</f>
        <v>1.4137166941154065E-11</v>
      </c>
      <c r="S5" s="60">
        <f>4*PI()*Q5^2</f>
        <v>2.8274333882308133E-7</v>
      </c>
      <c r="T5" s="110">
        <v>6.16</v>
      </c>
      <c r="U5" s="6">
        <f>V5/H5</f>
        <v>2080</v>
      </c>
      <c r="V5" s="76">
        <v>6.24</v>
      </c>
      <c r="W5" s="12">
        <f>X5*N5</f>
        <v>170.50000000617709</v>
      </c>
      <c r="X5" s="114">
        <v>4.6229552939999996</v>
      </c>
      <c r="Y5" s="8">
        <f>Z5/N5</f>
        <v>2.4673837638636873E-8</v>
      </c>
      <c r="Z5" s="112">
        <v>9.0999999999999997E-7</v>
      </c>
      <c r="AA5" s="12">
        <f>AA7</f>
        <v>1.8764440191176489E-6</v>
      </c>
      <c r="AB5" s="12">
        <v>0.1</v>
      </c>
      <c r="AC5" s="78">
        <f>AE5-AD5</f>
        <v>26.009511946068688</v>
      </c>
      <c r="AD5" s="76">
        <f>AD6</f>
        <v>4.8805393131369631E-4</v>
      </c>
      <c r="AE5" s="110">
        <v>26.01</v>
      </c>
      <c r="AF5" s="13">
        <f t="shared" ref="AF5:AF7" si="0">(-1/AG5)*96500</f>
        <v>-161.48062173470464</v>
      </c>
      <c r="AG5" s="13">
        <f>AJ5/$L5</f>
        <v>597.59492478632615</v>
      </c>
      <c r="AH5" s="13">
        <f>AL5/$L5</f>
        <v>559.63517457303863</v>
      </c>
      <c r="AI5" s="13">
        <f>AK5/$L5</f>
        <v>37.959750213287506</v>
      </c>
      <c r="AJ5" s="76">
        <f>AK5+AL5</f>
        <v>1.1020000000000001</v>
      </c>
      <c r="AK5" s="110">
        <v>7.0000000000000007E-2</v>
      </c>
      <c r="AL5" s="110">
        <v>1.032</v>
      </c>
      <c r="AM5" s="6">
        <v>1</v>
      </c>
      <c r="AN5" s="6">
        <v>1</v>
      </c>
      <c r="AO5" s="76">
        <v>100</v>
      </c>
      <c r="AP5" s="6">
        <f>AO5*(SIN(PI()*AM5*AN5/(2*(AM5+1)))/SIN(PI()*AN5/(2*(AM5+1))))^(1/AN5)</f>
        <v>100</v>
      </c>
      <c r="AQ5" s="14">
        <f>AR5*L5</f>
        <v>0.17868783904852442</v>
      </c>
      <c r="AR5" s="116">
        <f>AP5/AL5</f>
        <v>96.899224806201545</v>
      </c>
      <c r="AS5" s="6">
        <f>AT5/J5</f>
        <v>3.0545454545454539E-4</v>
      </c>
      <c r="AT5" s="110">
        <v>3.3599999999999998E-4</v>
      </c>
      <c r="AU5" s="28">
        <f>Q5*Q5/(AK5*AE5)</f>
        <v>1.2357884330202665E-8</v>
      </c>
      <c r="AV5" s="80">
        <f>AE5/5</f>
        <v>5.202</v>
      </c>
      <c r="AW5" s="1">
        <f>AK5/3</f>
        <v>2.3333333333333334E-2</v>
      </c>
      <c r="AX5" s="1">
        <f>(AE5/5)+AR5*AL5*((3*AJ5)-AK5)/(3*AJ5^2)</f>
        <v>94.024720171101748</v>
      </c>
      <c r="AY5" s="1">
        <f>AJ5</f>
        <v>1.1020000000000001</v>
      </c>
      <c r="AZ5" s="1">
        <f t="shared" ref="AZ5:AZ6" si="1">T5+SQRT(V5*X5)*_xlfn.COTH(SQRT(V5/X5))</f>
        <v>12.696987771473381</v>
      </c>
      <c r="BA5" s="83">
        <f>Z5*2*SQRT(V5*X5)*(SQRT(V5*X5)*EXP(SQRT(4*V5/X5))+(X5/4)*(EXP(SQRT(16*V5/X5))-1))/(SQRT(V5*X5)-T5+(T5+SQRT(V5*X5))*EXP(SQRT(4*V5/X5)))^2</f>
        <v>1.2447997645240647E-7</v>
      </c>
      <c r="BB5" s="1">
        <f>T5+V5/3+(X5+AE5/5)*(AK5/(AK5+Z5))^2</f>
        <v>18.064699850143519</v>
      </c>
      <c r="BC5" s="1">
        <f>AK5/3+Z5</f>
        <v>2.3334243333333334E-2</v>
      </c>
      <c r="BD5" s="1">
        <f>T5+V5/3+(X5+AE5/5)*(AJ5/(AJ5+Z5))^2+AP5*(3*AJ5-AK5)/(3*(AJ5+Z5)^2)</f>
        <v>106.88751254446024</v>
      </c>
      <c r="BE5" s="1">
        <f>AJ5+Z5</f>
        <v>1.1020009100000001</v>
      </c>
    </row>
    <row r="6" spans="1:370" x14ac:dyDescent="0.4">
      <c r="A6" s="25" t="s">
        <v>17</v>
      </c>
      <c r="B6" s="49">
        <v>2.8613</v>
      </c>
      <c r="C6" s="49">
        <v>14.238</v>
      </c>
      <c r="D6" s="49">
        <v>6</v>
      </c>
      <c r="E6" s="50">
        <f>(6*B6*B6*(3^(1/3))*C6/4)*(1E-24)</f>
        <v>2.5217815071816013E-22</v>
      </c>
      <c r="F6" s="51">
        <f>0.3*6.941*(6.941*0.33+54.938*0.67)+15.999*2+0.7*6.941*(58.693*0.5+58.933*0.2+54.938*0.3)+15.999*2</f>
        <v>425.34339802699998</v>
      </c>
      <c r="G6" s="52">
        <f>F6*D6/(E6*6.02*1E+23)</f>
        <v>16.810746523027323</v>
      </c>
      <c r="H6" s="53">
        <f>H5</f>
        <v>3.0000000000000001E-3</v>
      </c>
      <c r="I6" s="53">
        <f t="shared" ref="I6:I7" si="2">H6*J6</f>
        <v>3.3000000000000004E-3</v>
      </c>
      <c r="J6" s="53">
        <f>J5</f>
        <v>1.1000000000000001</v>
      </c>
      <c r="K6" s="54">
        <f>K5</f>
        <v>3.1E-2</v>
      </c>
      <c r="L6" s="55">
        <f>K6/G6</f>
        <v>1.8440584989807723E-3</v>
      </c>
      <c r="N6" s="57">
        <f>L6/PI()/Q6^2*2*PI()*Q6</f>
        <v>24.587446653076963</v>
      </c>
      <c r="O6" s="58">
        <f t="shared" ref="O6:O7" si="3">L6/I6</f>
        <v>0.55880560575174909</v>
      </c>
      <c r="P6" s="56">
        <f>N6/L6</f>
        <v>13333.333333333334</v>
      </c>
      <c r="Q6" s="59">
        <f>Q5</f>
        <v>1.4999999999999999E-4</v>
      </c>
      <c r="T6" s="110">
        <v>6.16</v>
      </c>
      <c r="U6" s="6">
        <f>V6/H6</f>
        <v>2080</v>
      </c>
      <c r="V6" s="76">
        <v>6.24</v>
      </c>
      <c r="W6" s="12">
        <f>X6*N6</f>
        <v>170.50000000617709</v>
      </c>
      <c r="X6" s="114">
        <v>6.9344329409999999</v>
      </c>
      <c r="Y6" s="8">
        <f>Y5</f>
        <v>2.4673837638636873E-8</v>
      </c>
      <c r="Z6" s="112">
        <f>Y6*N6</f>
        <v>6.0666666666666654E-7</v>
      </c>
      <c r="AA6" s="12">
        <f>AA7</f>
        <v>1.8764440191176489E-6</v>
      </c>
      <c r="AB6" s="12">
        <v>0.1</v>
      </c>
      <c r="AC6" s="78">
        <f>AE6-AD6</f>
        <v>26.009511946068688</v>
      </c>
      <c r="AD6" s="76">
        <f>AD7</f>
        <v>4.8805393131369631E-4</v>
      </c>
      <c r="AE6" s="110">
        <v>26.01</v>
      </c>
      <c r="AF6" s="13">
        <f t="shared" si="0"/>
        <v>-161.48062173470464</v>
      </c>
      <c r="AG6" s="13">
        <f>AJ6/L6</f>
        <v>597.59492478632615</v>
      </c>
      <c r="AH6" s="13">
        <f t="shared" ref="AH6:AH7" si="4">AL6/$L6</f>
        <v>559.63517457303863</v>
      </c>
      <c r="AI6" s="13">
        <f t="shared" ref="AI6:AI7" si="5">AK6/$L6</f>
        <v>37.959750213287506</v>
      </c>
      <c r="AJ6" s="76">
        <f t="shared" ref="AJ6:AJ7" si="6">AK6+AL6</f>
        <v>1.1020000000000001</v>
      </c>
      <c r="AK6" s="110">
        <v>7.0000000000000007E-2</v>
      </c>
      <c r="AL6" s="110">
        <v>1.032</v>
      </c>
      <c r="AM6" s="6">
        <v>1</v>
      </c>
      <c r="AN6" s="6">
        <v>1</v>
      </c>
      <c r="AO6" s="76">
        <v>100</v>
      </c>
      <c r="AP6" s="6">
        <f t="shared" ref="AP6:AP7" si="7">AO6*(SIN(PI()*AM6*AN6/(2*(AM6+1)))/SIN(PI()*AN6/(2*(AM6+1))))^(1/AN6)</f>
        <v>100</v>
      </c>
      <c r="AQ6" s="14">
        <f>AR6*L6</f>
        <v>0.17868783904852442</v>
      </c>
      <c r="AR6" s="116">
        <f t="shared" ref="AR6:AR7" si="8">AP6/AL6</f>
        <v>96.899224806201545</v>
      </c>
      <c r="AS6" s="6">
        <f>AT6/J6</f>
        <v>3.0545454545454539E-4</v>
      </c>
      <c r="AT6" s="110">
        <v>3.3599999999999998E-4</v>
      </c>
      <c r="AU6" s="28">
        <f>Q6*Q6/(AK6*AE6)</f>
        <v>1.2357884330202665E-8</v>
      </c>
      <c r="AV6" s="80">
        <f>AE6/4</f>
        <v>6.5025000000000004</v>
      </c>
      <c r="AW6" s="1">
        <f>AK6/2</f>
        <v>3.5000000000000003E-2</v>
      </c>
      <c r="AX6" s="1">
        <f>(AE6/4)+AR6*AL6*((2*AJ6)-AK6)/(2*AJ6^2)</f>
        <v>94.364529439955717</v>
      </c>
      <c r="AY6" s="1">
        <f t="shared" ref="AY6:AY7" si="9">AJ6</f>
        <v>1.1020000000000001</v>
      </c>
      <c r="AZ6" s="1">
        <f t="shared" si="1"/>
        <v>15.059464359981636</v>
      </c>
      <c r="BA6" s="83">
        <f t="shared" ref="BA6:BA7" si="10">Z6*2*SQRT(V6*X6)*(SQRT(V6*X6)*EXP(SQRT(4*V6/X6))+(X6/4)*(EXP(SQRT(16*V6/X6))-1))/(SQRT(V6*X6)-T6+(T6+SQRT(V6*X6))*EXP(SQRT(4*V6/X6)))^2</f>
        <v>1.3059882823869235E-7</v>
      </c>
      <c r="BB6" s="1">
        <f>T6+V6/3+(X6+AE6/4)*(AK6/(AK6+Z6))^2</f>
        <v>21.676700037190109</v>
      </c>
      <c r="BC6" s="1">
        <f>AK6/2+Z6</f>
        <v>3.500060666666667E-2</v>
      </c>
      <c r="BD6" s="1">
        <f>T6+V6/3+(X6+AE6/4)*(AJ6/(AJ6+Z6))^2+AP6*(2*AJ6-AK6)/(2*(AJ6+Z6)^2)</f>
        <v>109.53885084801</v>
      </c>
      <c r="BE6" s="1">
        <f t="shared" ref="BE6:BE7" si="11">AJ6+Z6</f>
        <v>1.1020006066666668</v>
      </c>
    </row>
    <row r="7" spans="1:370" ht="18" thickBot="1" x14ac:dyDescent="0.45">
      <c r="A7" s="29" t="s">
        <v>18</v>
      </c>
      <c r="B7" s="61">
        <v>2.8613</v>
      </c>
      <c r="C7" s="61">
        <v>14.238</v>
      </c>
      <c r="D7" s="61">
        <v>6</v>
      </c>
      <c r="E7" s="62">
        <f>(6*B7*B7*(3^(1/3))*C7/4)*(1E-24)</f>
        <v>2.5217815071816013E-22</v>
      </c>
      <c r="F7" s="63">
        <f>0.3*6.941*(6.941*0.33+54.938*0.67)+15.999*2+0.7*6.941*(58.693*0.5+58.933*0.2+54.938*0.3)+15.999*2</f>
        <v>425.34339802699998</v>
      </c>
      <c r="G7" s="64">
        <f>F7*D7/(E7*6.02*1E+23)</f>
        <v>16.810746523027323</v>
      </c>
      <c r="H7" s="65">
        <f>H6</f>
        <v>3.0000000000000001E-3</v>
      </c>
      <c r="I7" s="65">
        <f t="shared" si="2"/>
        <v>3.3000000000000004E-3</v>
      </c>
      <c r="J7" s="65">
        <f>J5</f>
        <v>1.1000000000000001</v>
      </c>
      <c r="K7" s="66">
        <f>K5</f>
        <v>3.1E-2</v>
      </c>
      <c r="L7" s="67">
        <f>K7/G7</f>
        <v>1.8440584989807723E-3</v>
      </c>
      <c r="M7" s="66"/>
      <c r="N7" s="68">
        <f>L7/2/Q7*2</f>
        <v>12.293723326538483</v>
      </c>
      <c r="O7" s="69">
        <f t="shared" si="3"/>
        <v>0.55880560575174909</v>
      </c>
      <c r="P7" s="70">
        <f>N7/L7</f>
        <v>6666.6666666666679</v>
      </c>
      <c r="Q7" s="71">
        <f>Q6</f>
        <v>1.4999999999999999E-4</v>
      </c>
      <c r="R7" s="71"/>
      <c r="S7" s="71"/>
      <c r="T7" s="111">
        <v>6.16</v>
      </c>
      <c r="U7" s="30">
        <f>V7/H7</f>
        <v>2080</v>
      </c>
      <c r="V7" s="77">
        <v>6.24</v>
      </c>
      <c r="W7" s="31">
        <f>X7*N7</f>
        <v>170.49999998158967</v>
      </c>
      <c r="X7" s="115">
        <v>13.86886588</v>
      </c>
      <c r="Y7" s="32">
        <f>Y5</f>
        <v>2.4673837638636873E-8</v>
      </c>
      <c r="Z7" s="113">
        <f>Y7*N7</f>
        <v>3.0333333333333332E-7</v>
      </c>
      <c r="AA7" s="31">
        <f>2*Q7/(AC7*N7/2)</f>
        <v>1.8764440191176489E-6</v>
      </c>
      <c r="AB7" s="31">
        <v>0.1</v>
      </c>
      <c r="AC7" s="79">
        <f>AE7-AD7</f>
        <v>26.009511946068688</v>
      </c>
      <c r="AD7" s="77">
        <f>1/AB7  *Q7*2/(N7/2)</f>
        <v>4.8805393131369631E-4</v>
      </c>
      <c r="AE7" s="111">
        <v>26.01</v>
      </c>
      <c r="AF7" s="33">
        <f t="shared" si="0"/>
        <v>-161.48062173470464</v>
      </c>
      <c r="AG7" s="33">
        <f>AJ7/L7</f>
        <v>597.59492478632615</v>
      </c>
      <c r="AH7" s="33">
        <f t="shared" si="4"/>
        <v>559.63517457303863</v>
      </c>
      <c r="AI7" s="33">
        <f t="shared" si="5"/>
        <v>37.959750213287506</v>
      </c>
      <c r="AJ7" s="77">
        <f t="shared" si="6"/>
        <v>1.1020000000000001</v>
      </c>
      <c r="AK7" s="111">
        <v>7.0000000000000007E-2</v>
      </c>
      <c r="AL7" s="111">
        <v>1.032</v>
      </c>
      <c r="AM7" s="30">
        <v>1</v>
      </c>
      <c r="AN7" s="30">
        <v>1</v>
      </c>
      <c r="AO7" s="77">
        <v>100</v>
      </c>
      <c r="AP7" s="30">
        <f t="shared" si="7"/>
        <v>100</v>
      </c>
      <c r="AQ7" s="34">
        <f>AR7*L7</f>
        <v>0.17868783904852442</v>
      </c>
      <c r="AR7" s="117">
        <f t="shared" si="8"/>
        <v>96.899224806201545</v>
      </c>
      <c r="AS7" s="30">
        <f>AT7/J7</f>
        <v>3.0545454545454539E-4</v>
      </c>
      <c r="AT7" s="111">
        <v>3.3599999999999998E-4</v>
      </c>
      <c r="AU7" s="35">
        <f>Q7*Q7/(AK7*AE7)</f>
        <v>1.2357884330202665E-8</v>
      </c>
      <c r="AV7" s="80">
        <f>AE7/3</f>
        <v>8.67</v>
      </c>
      <c r="AW7" s="1">
        <f>AK7/1</f>
        <v>7.0000000000000007E-2</v>
      </c>
      <c r="AX7" s="1">
        <f>(AE7/3)+AR7*AL7*((1*AJ7)-AK7)/(1*AJ7^2)</f>
        <v>93.649957246517616</v>
      </c>
      <c r="AY7" s="1">
        <f t="shared" si="9"/>
        <v>1.1020000000000001</v>
      </c>
      <c r="AZ7" s="1">
        <f>T7+SQRT(V7*X7)*_xlfn.COTH(SQRT(V7/X7))</f>
        <v>22.049034155413995</v>
      </c>
      <c r="BA7" s="83">
        <f t="shared" si="10"/>
        <v>1.2050806423352323E-7</v>
      </c>
      <c r="BB7" s="1">
        <f>T7+V7/3+(X7+AE7/3)*(AK7/(AK7+Z7))^2</f>
        <v>30.778670544432053</v>
      </c>
      <c r="BC7" s="1">
        <f>AK7/1+Z7</f>
        <v>7.0000303333333347E-2</v>
      </c>
      <c r="BD7" s="1">
        <f>T7+V7/3+(X7+AE7/3)*(AJ7/(AJ7+Z7))^2+AP7*(1*AJ7-AK7)/(1*(AJ7+Z7)^2)</f>
        <v>115.75876393590138</v>
      </c>
      <c r="BE7" s="1">
        <f t="shared" si="11"/>
        <v>1.1020003033333334</v>
      </c>
    </row>
    <row r="8" spans="1:370" s="2" customFormat="1" x14ac:dyDescent="0.4">
      <c r="A8" s="15"/>
      <c r="B8" s="72"/>
      <c r="C8" s="72"/>
      <c r="D8" s="72"/>
      <c r="E8" s="72"/>
      <c r="F8" s="72"/>
      <c r="G8" s="72"/>
      <c r="H8" s="73"/>
      <c r="I8" s="73"/>
      <c r="J8" s="73"/>
      <c r="K8" s="74"/>
      <c r="L8" s="74"/>
      <c r="M8" s="74"/>
      <c r="N8" s="74"/>
      <c r="O8" s="74"/>
      <c r="P8" s="74"/>
      <c r="Q8" s="75"/>
      <c r="R8" s="75"/>
      <c r="S8" s="75"/>
      <c r="T8" s="16"/>
      <c r="U8" s="16"/>
      <c r="V8" s="16"/>
      <c r="W8" s="17"/>
      <c r="X8" s="16"/>
      <c r="Y8" s="18"/>
      <c r="Z8" s="19"/>
      <c r="AA8" s="20"/>
      <c r="AB8" s="19"/>
      <c r="AC8" s="19"/>
      <c r="AD8" s="19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"/>
      <c r="AW8" s="1"/>
      <c r="AX8" s="1"/>
      <c r="AY8" s="1"/>
      <c r="AZ8" s="1"/>
      <c r="BA8" s="1"/>
      <c r="BB8" s="1"/>
      <c r="BC8" s="1"/>
      <c r="BD8" s="1"/>
      <c r="BE8" s="1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</row>
    <row r="9" spans="1:370" s="2" customFormat="1" x14ac:dyDescent="0.4">
      <c r="A9" s="5"/>
      <c r="B9" s="49"/>
      <c r="C9" s="49"/>
      <c r="D9" s="49"/>
      <c r="E9" s="49"/>
      <c r="F9" s="49"/>
      <c r="G9" s="49"/>
      <c r="H9" s="53"/>
      <c r="I9" s="53"/>
      <c r="J9" s="53"/>
      <c r="K9" s="54"/>
      <c r="L9" s="54"/>
      <c r="M9" s="54"/>
      <c r="N9" s="54"/>
      <c r="O9" s="54"/>
      <c r="P9" s="54"/>
      <c r="Q9" s="59"/>
      <c r="R9" s="59"/>
      <c r="S9" s="59"/>
      <c r="T9" s="6"/>
      <c r="U9" s="6"/>
      <c r="V9" s="6"/>
      <c r="W9" s="7"/>
      <c r="X9" s="6"/>
      <c r="Y9" s="8"/>
      <c r="Z9" s="9"/>
      <c r="AA9" s="9"/>
      <c r="AB9" s="9"/>
      <c r="AC9" s="9"/>
      <c r="AD9" s="9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1"/>
      <c r="AW9" s="1"/>
      <c r="AX9" s="1"/>
      <c r="AY9" s="1"/>
      <c r="AZ9" s="1"/>
      <c r="BA9" s="1"/>
      <c r="BB9" s="1"/>
      <c r="BC9" s="1"/>
      <c r="BD9" s="1"/>
      <c r="BE9" s="1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</row>
    <row r="13" spans="1:370" x14ac:dyDescent="0.4">
      <c r="AB13" s="6" t="s">
        <v>70</v>
      </c>
    </row>
    <row r="30" spans="1:370" s="4" customFormat="1" x14ac:dyDescent="0.4">
      <c r="A30" s="5"/>
      <c r="B30" s="49"/>
      <c r="C30" s="49"/>
      <c r="D30" s="49"/>
      <c r="E30" s="49"/>
      <c r="F30" s="49"/>
      <c r="G30" s="49"/>
      <c r="H30" s="53"/>
      <c r="I30" s="53"/>
      <c r="J30" s="53"/>
      <c r="K30" s="54"/>
      <c r="L30" s="54"/>
      <c r="M30" s="54"/>
      <c r="N30" s="54"/>
      <c r="O30" s="54"/>
      <c r="P30" s="54"/>
      <c r="Q30" s="59"/>
      <c r="R30" s="59"/>
      <c r="S30" s="59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</row>
  </sheetData>
  <mergeCells count="14">
    <mergeCell ref="W3:Z3"/>
    <mergeCell ref="U3:V3"/>
    <mergeCell ref="B1:G1"/>
    <mergeCell ref="B2:G2"/>
    <mergeCell ref="H2:J2"/>
    <mergeCell ref="Q2:S2"/>
    <mergeCell ref="T2:AU2"/>
    <mergeCell ref="B3:D3"/>
    <mergeCell ref="K2:P2"/>
    <mergeCell ref="AX3:AY3"/>
    <mergeCell ref="AZ3:BE3"/>
    <mergeCell ref="AV2:BE2"/>
    <mergeCell ref="AV3:AW3"/>
    <mergeCell ref="AA3:AR3"/>
  </mergeCells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Barsoukov_different geometr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ThuyLinh</dc:creator>
  <cp:lastModifiedBy>user</cp:lastModifiedBy>
  <dcterms:created xsi:type="dcterms:W3CDTF">2020-02-03T09:11:36Z</dcterms:created>
  <dcterms:modified xsi:type="dcterms:W3CDTF">2020-05-13T14:57:14Z</dcterms:modified>
</cp:coreProperties>
</file>