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muham\OneDrive\Documents\dataset tourism destination\"/>
    </mc:Choice>
  </mc:AlternateContent>
  <xr:revisionPtr revIDLastSave="0" documentId="13_ncr:1_{D89E9EAD-54E7-4CEE-8E77-6FFFDAC926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" l="1"/>
  <c r="T58" i="1"/>
  <c r="U58" i="1"/>
  <c r="T229" i="1"/>
  <c r="U229" i="1"/>
  <c r="U98" i="1" l="1"/>
  <c r="T98" i="1"/>
  <c r="U290" i="1"/>
  <c r="T290" i="1"/>
  <c r="T273" i="1"/>
  <c r="T69" i="1"/>
  <c r="U69" i="1"/>
  <c r="T106" i="1"/>
  <c r="U106" i="1"/>
  <c r="T115" i="1"/>
  <c r="U115" i="1"/>
  <c r="T148" i="1"/>
  <c r="U148" i="1"/>
  <c r="U273" i="1"/>
  <c r="R106" i="1"/>
  <c r="R98" i="1"/>
  <c r="R290" i="1"/>
  <c r="F290" i="1"/>
  <c r="E290" i="1"/>
  <c r="R229" i="1"/>
  <c r="S229" i="1"/>
  <c r="T291" i="1" l="1"/>
  <c r="U291" i="1"/>
  <c r="R148" i="1"/>
  <c r="S145" i="1"/>
  <c r="S148" i="1" s="1"/>
  <c r="S290" i="1"/>
  <c r="S273" i="1" l="1"/>
  <c r="R273" i="1"/>
  <c r="S98" i="1"/>
  <c r="R115" i="1"/>
  <c r="S115" i="1"/>
  <c r="S58" i="1" l="1"/>
  <c r="E229" i="1"/>
  <c r="F229" i="1"/>
  <c r="G229" i="1"/>
  <c r="J229" i="1"/>
  <c r="K229" i="1"/>
  <c r="L229" i="1"/>
  <c r="M229" i="1"/>
  <c r="N229" i="1"/>
  <c r="O229" i="1"/>
  <c r="P229" i="1"/>
  <c r="Q229" i="1"/>
  <c r="S106" i="1"/>
  <c r="S69" i="1"/>
  <c r="R69" i="1"/>
  <c r="Q290" i="1"/>
  <c r="P290" i="1"/>
  <c r="Q273" i="1"/>
  <c r="P273" i="1"/>
  <c r="O273" i="1"/>
  <c r="N273" i="1"/>
  <c r="Q148" i="1"/>
  <c r="P148" i="1"/>
  <c r="Q115" i="1"/>
  <c r="P115" i="1"/>
  <c r="Q106" i="1"/>
  <c r="P106" i="1"/>
  <c r="Q98" i="1"/>
  <c r="P98" i="1"/>
  <c r="Q69" i="1"/>
  <c r="P69" i="1"/>
  <c r="Q58" i="1"/>
  <c r="N58" i="1"/>
  <c r="P58" i="1"/>
  <c r="O58" i="1"/>
  <c r="M58" i="1"/>
  <c r="L58" i="1"/>
  <c r="G58" i="1"/>
  <c r="F58" i="1"/>
  <c r="E58" i="1"/>
  <c r="E69" i="1"/>
  <c r="I191" i="1"/>
  <c r="H191" i="1"/>
  <c r="I190" i="1"/>
  <c r="H190" i="1"/>
  <c r="I189" i="1"/>
  <c r="H189" i="1"/>
  <c r="I188" i="1"/>
  <c r="I187" i="1"/>
  <c r="I186" i="1"/>
  <c r="I185" i="1"/>
  <c r="H185" i="1"/>
  <c r="I184" i="1"/>
  <c r="H184" i="1"/>
  <c r="I183" i="1"/>
  <c r="H183" i="1"/>
  <c r="H182" i="1"/>
  <c r="I135" i="1"/>
  <c r="H135" i="1"/>
  <c r="I134" i="1"/>
  <c r="H134" i="1"/>
  <c r="I132" i="1"/>
  <c r="H132" i="1"/>
  <c r="S291" i="1" l="1"/>
  <c r="R291" i="1"/>
  <c r="P291" i="1"/>
  <c r="Q291" i="1"/>
  <c r="O290" i="1"/>
  <c r="N290" i="1"/>
  <c r="O148" i="1"/>
  <c r="N148" i="1"/>
  <c r="O115" i="1"/>
  <c r="N115" i="1"/>
  <c r="O106" i="1"/>
  <c r="N106" i="1"/>
  <c r="O98" i="1"/>
  <c r="N98" i="1"/>
  <c r="O69" i="1"/>
  <c r="N69" i="1"/>
  <c r="O291" i="1" l="1"/>
  <c r="N291" i="1"/>
  <c r="L69" i="1"/>
  <c r="L98" i="1"/>
  <c r="L106" i="1"/>
  <c r="L115" i="1"/>
  <c r="L148" i="1"/>
  <c r="L273" i="1"/>
  <c r="L290" i="1"/>
  <c r="M69" i="1"/>
  <c r="M98" i="1"/>
  <c r="M106" i="1"/>
  <c r="M115" i="1"/>
  <c r="M148" i="1"/>
  <c r="M273" i="1"/>
  <c r="M290" i="1"/>
  <c r="M8" i="1"/>
  <c r="O8" i="1" s="1"/>
  <c r="Q8" i="1" s="1"/>
  <c r="S8" i="1" s="1"/>
  <c r="U8" i="1" s="1"/>
  <c r="L8" i="1"/>
  <c r="N8" i="1" s="1"/>
  <c r="P8" i="1" s="1"/>
  <c r="R8" i="1" s="1"/>
  <c r="T8" i="1" s="1"/>
  <c r="K287" i="1"/>
  <c r="K286" i="1"/>
  <c r="J286" i="1"/>
  <c r="K285" i="1"/>
  <c r="J285" i="1"/>
  <c r="K281" i="1"/>
  <c r="J281" i="1"/>
  <c r="K284" i="1"/>
  <c r="J284" i="1"/>
  <c r="K275" i="1"/>
  <c r="J275" i="1"/>
  <c r="K280" i="1"/>
  <c r="J280" i="1"/>
  <c r="K279" i="1"/>
  <c r="J279" i="1"/>
  <c r="K278" i="1"/>
  <c r="J278" i="1"/>
  <c r="K276" i="1"/>
  <c r="J276" i="1"/>
  <c r="J148" i="1"/>
  <c r="K148" i="1"/>
  <c r="K98" i="1"/>
  <c r="K109" i="1"/>
  <c r="K113" i="1"/>
  <c r="K111" i="1"/>
  <c r="J109" i="1"/>
  <c r="K108" i="1"/>
  <c r="J108" i="1"/>
  <c r="J58" i="1"/>
  <c r="J69" i="1"/>
  <c r="J98" i="1"/>
  <c r="J106" i="1"/>
  <c r="J273" i="1"/>
  <c r="K273" i="1"/>
  <c r="K106" i="1"/>
  <c r="K69" i="1"/>
  <c r="K58" i="1"/>
  <c r="G273" i="1"/>
  <c r="F273" i="1"/>
  <c r="E273" i="1"/>
  <c r="G148" i="1"/>
  <c r="F148" i="1"/>
  <c r="E148" i="1"/>
  <c r="G115" i="1"/>
  <c r="F115" i="1"/>
  <c r="E115" i="1"/>
  <c r="G106" i="1"/>
  <c r="F106" i="1"/>
  <c r="E106" i="1"/>
  <c r="G98" i="1"/>
  <c r="F98" i="1"/>
  <c r="E98" i="1"/>
  <c r="G69" i="1"/>
  <c r="F69" i="1"/>
  <c r="G290" i="1"/>
  <c r="I287" i="1"/>
  <c r="I286" i="1"/>
  <c r="H286" i="1"/>
  <c r="I285" i="1"/>
  <c r="H285" i="1"/>
  <c r="I284" i="1"/>
  <c r="H284" i="1"/>
  <c r="I281" i="1"/>
  <c r="H281" i="1"/>
  <c r="I280" i="1"/>
  <c r="H280" i="1"/>
  <c r="I279" i="1"/>
  <c r="H279" i="1"/>
  <c r="I278" i="1"/>
  <c r="H278" i="1"/>
  <c r="I276" i="1"/>
  <c r="H276" i="1"/>
  <c r="I275" i="1"/>
  <c r="H275" i="1"/>
  <c r="I273" i="1"/>
  <c r="H273" i="1"/>
  <c r="I179" i="1"/>
  <c r="H179" i="1"/>
  <c r="I177" i="1"/>
  <c r="H177" i="1"/>
  <c r="H175" i="1"/>
  <c r="I173" i="1"/>
  <c r="I170" i="1"/>
  <c r="H170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59" i="1"/>
  <c r="H159" i="1"/>
  <c r="I158" i="1"/>
  <c r="H158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28" i="1"/>
  <c r="H128" i="1"/>
  <c r="I126" i="1"/>
  <c r="H126" i="1"/>
  <c r="I125" i="1"/>
  <c r="H125" i="1"/>
  <c r="I124" i="1"/>
  <c r="I123" i="1"/>
  <c r="H123" i="1"/>
  <c r="I122" i="1"/>
  <c r="I121" i="1"/>
  <c r="H121" i="1"/>
  <c r="I120" i="1"/>
  <c r="H120" i="1"/>
  <c r="I119" i="1"/>
  <c r="H119" i="1"/>
  <c r="I118" i="1"/>
  <c r="H118" i="1"/>
  <c r="I117" i="1"/>
  <c r="H117" i="1"/>
  <c r="I113" i="1"/>
  <c r="H113" i="1"/>
  <c r="I111" i="1"/>
  <c r="I109" i="1"/>
  <c r="H109" i="1"/>
  <c r="I108" i="1"/>
  <c r="H108" i="1"/>
  <c r="I106" i="1"/>
  <c r="H106" i="1"/>
  <c r="I98" i="1"/>
  <c r="H98" i="1"/>
  <c r="I69" i="1"/>
  <c r="H69" i="1"/>
  <c r="I58" i="1"/>
  <c r="H58" i="1"/>
  <c r="H229" i="1" l="1"/>
  <c r="I229" i="1"/>
  <c r="I148" i="1"/>
  <c r="E291" i="1"/>
  <c r="K290" i="1"/>
  <c r="H290" i="1"/>
  <c r="G291" i="1"/>
  <c r="F291" i="1"/>
  <c r="K115" i="1"/>
  <c r="J290" i="1"/>
  <c r="H115" i="1"/>
  <c r="I115" i="1"/>
  <c r="J115" i="1"/>
  <c r="H148" i="1"/>
  <c r="I290" i="1"/>
  <c r="M291" i="1"/>
  <c r="L291" i="1"/>
  <c r="J291" i="1" l="1"/>
  <c r="K291" i="1"/>
  <c r="H291" i="1"/>
  <c r="I291" i="1"/>
</calcChain>
</file>

<file path=xl/sharedStrings.xml><?xml version="1.0" encoding="utf-8"?>
<sst xmlns="http://schemas.openxmlformats.org/spreadsheetml/2006/main" count="1381" uniqueCount="298">
  <si>
    <t>THE GROWTH OF FOREIGN TOURIST VISIT TO PLACE OF</t>
  </si>
  <si>
    <t>TABLE 17.</t>
  </si>
  <si>
    <t>TABEL 17.</t>
  </si>
  <si>
    <t>PERKEMBANGAN KUNJUNGAN WISATAWAN PADA KAWASAN</t>
  </si>
  <si>
    <t>NO</t>
  </si>
  <si>
    <t>THE VISITED PLACES of INTEREST</t>
  </si>
  <si>
    <t>wisnus</t>
  </si>
  <si>
    <t>wisman</t>
  </si>
  <si>
    <t>I</t>
  </si>
  <si>
    <t>DENPASAR CITY</t>
  </si>
  <si>
    <t>Museum Bali</t>
  </si>
  <si>
    <t>Museum Le Mayuer</t>
  </si>
  <si>
    <t>Pulau Serangan</t>
  </si>
  <si>
    <t>Prasasti Blanjong</t>
  </si>
  <si>
    <t>Pasar Badung</t>
  </si>
  <si>
    <t>-</t>
  </si>
  <si>
    <t>Museum Lukisan Sidik Jari</t>
  </si>
  <si>
    <t>Monumen Perjuangan Rakyat Bali</t>
  </si>
  <si>
    <t>Hutan Bakau/Mangrove</t>
  </si>
  <si>
    <t>Desa Budaya Kertalangu</t>
  </si>
  <si>
    <t>Pura Dalem Sakenan</t>
  </si>
  <si>
    <t>Pura Maspahit Grenceng</t>
  </si>
  <si>
    <t>Dewata Oleh-Oleh Bali</t>
  </si>
  <si>
    <t>Syahbandar Serangan</t>
  </si>
  <si>
    <t>Keris Dance</t>
  </si>
  <si>
    <t>JUMLAH</t>
  </si>
  <si>
    <t>II</t>
  </si>
  <si>
    <t>BADUNG REGENCY</t>
  </si>
  <si>
    <t>Sangeh</t>
  </si>
  <si>
    <t>Taman Ayun</t>
  </si>
  <si>
    <t>Uluwatu</t>
  </si>
  <si>
    <t>Air Terjun Nungnung</t>
  </si>
  <si>
    <t>Pantai Pandawa</t>
  </si>
  <si>
    <t>Pantai Labuan Sait</t>
  </si>
  <si>
    <t>III</t>
  </si>
  <si>
    <t>GIANYAR REGENCY</t>
  </si>
  <si>
    <t>Goa Gajah</t>
  </si>
  <si>
    <t>Gn. Kawi Tampak Siring</t>
  </si>
  <si>
    <t>Gn. Kawi Sebatu</t>
  </si>
  <si>
    <t>Tirta Empul</t>
  </si>
  <si>
    <t xml:space="preserve">Mandala Suci Wanara Wana </t>
  </si>
  <si>
    <t>Yeh Pulu</t>
  </si>
  <si>
    <t>Taman Burung dan Rimba Reptil</t>
  </si>
  <si>
    <t>Wisata Gajah Taro</t>
  </si>
  <si>
    <t>Museum Arkeologi Garca</t>
  </si>
  <si>
    <t>Museum Neka</t>
  </si>
  <si>
    <t>Museum Rudana</t>
  </si>
  <si>
    <t>Museum Arma</t>
  </si>
  <si>
    <t>Bali Zoo Park</t>
  </si>
  <si>
    <t>Rafting (Sobek)</t>
  </si>
  <si>
    <t>Bali Safari &amp; Marine Park</t>
  </si>
  <si>
    <t>Museum Puri Lukisan</t>
  </si>
  <si>
    <t>Museum Antonio Blanco</t>
  </si>
  <si>
    <t>Rafting Adventure</t>
  </si>
  <si>
    <t>Museum Ratna Warta</t>
  </si>
  <si>
    <t>Taman Nusa</t>
  </si>
  <si>
    <t>Air Terjun Tegenungan</t>
  </si>
  <si>
    <t>Monkey river  dan Air Terjun Blangsinga</t>
  </si>
  <si>
    <t>IV</t>
  </si>
  <si>
    <t>BANGLI REGENCY</t>
  </si>
  <si>
    <t>Penulisan</t>
  </si>
  <si>
    <t>Pura Kehen</t>
  </si>
  <si>
    <t>Penelokan Batur</t>
  </si>
  <si>
    <t>Desa Truyan</t>
  </si>
  <si>
    <t>Desa Penglipuran</t>
  </si>
  <si>
    <t>P3GB</t>
  </si>
  <si>
    <t>V</t>
  </si>
  <si>
    <t>KLUNGKUNG REGENCY</t>
  </si>
  <si>
    <t>Kerta Gosa/Museum Semarajaya</t>
  </si>
  <si>
    <t>Goa Lawah</t>
  </si>
  <si>
    <t>Jungut Batu/Nusa Penida (Festival )</t>
  </si>
  <si>
    <t>Kawasan Nusa Penida</t>
  </si>
  <si>
    <t>Rafting Unda</t>
  </si>
  <si>
    <t>Levi Rafting</t>
  </si>
  <si>
    <t>Festival Semarapura</t>
  </si>
  <si>
    <t>VI</t>
  </si>
  <si>
    <t>KARANGASEM REGENCY</t>
  </si>
  <si>
    <t>Puri Karangasem</t>
  </si>
  <si>
    <t>Besakih</t>
  </si>
  <si>
    <t>Tirta Gangga</t>
  </si>
  <si>
    <t>Tenganan</t>
  </si>
  <si>
    <t>Padangbai</t>
  </si>
  <si>
    <t>Jemeluk</t>
  </si>
  <si>
    <t>Telaga Waja</t>
  </si>
  <si>
    <t>Tulamben</t>
  </si>
  <si>
    <t>Yeh Malet</t>
  </si>
  <si>
    <t>Candi Dasa</t>
  </si>
  <si>
    <t>Sibetan</t>
  </si>
  <si>
    <t>Taman Ujung</t>
  </si>
  <si>
    <t>Iseh</t>
  </si>
  <si>
    <t>Putung</t>
  </si>
  <si>
    <t>Bukit Jambul</t>
  </si>
  <si>
    <t>Labuhan/ODC</t>
  </si>
  <si>
    <t>Odyssey</t>
  </si>
  <si>
    <t>Virgin Beach</t>
  </si>
  <si>
    <t>Bukit Nampo</t>
  </si>
  <si>
    <t>Bukit Asah</t>
  </si>
  <si>
    <t>VII</t>
  </si>
  <si>
    <t>BULELENG REGENCY</t>
  </si>
  <si>
    <t>Pulaki</t>
  </si>
  <si>
    <t>Lovina, Kalibukbuk</t>
  </si>
  <si>
    <t>Air Panas Banjar</t>
  </si>
  <si>
    <t>Air Sanih</t>
  </si>
  <si>
    <t>Air Terjun Gitgit</t>
  </si>
  <si>
    <t>Makam Jaya Prana</t>
  </si>
  <si>
    <t>Air Panas Banyuwedang</t>
  </si>
  <si>
    <t>Taman Nasional Bali Barat</t>
  </si>
  <si>
    <t>Pura Madue Karang</t>
  </si>
  <si>
    <t>Pura Beji</t>
  </si>
  <si>
    <t>Pura Dalem Jagaraga</t>
  </si>
  <si>
    <t>Kaliasem</t>
  </si>
  <si>
    <t>Danau Buyan</t>
  </si>
  <si>
    <t>Pelabuhan Buleleng</t>
  </si>
  <si>
    <t>Gedong Kertya</t>
  </si>
  <si>
    <t>Air Terjun Les</t>
  </si>
  <si>
    <t>Museum Buleleng</t>
  </si>
  <si>
    <t>Wihara Banjar</t>
  </si>
  <si>
    <t>D. Tamblingan</t>
  </si>
  <si>
    <t>P. Menjangan</t>
  </si>
  <si>
    <t>Air Terjun Munduk</t>
  </si>
  <si>
    <t>Celukan Bawang</t>
  </si>
  <si>
    <t>Kapal Rool Azamara Quests</t>
  </si>
  <si>
    <t>Kapal Seabourn Odyssey</t>
  </si>
  <si>
    <t>Festival Twin Lake</t>
  </si>
  <si>
    <t>Buleleng Festival</t>
  </si>
  <si>
    <t>Porprov Bali Tahun 2015</t>
  </si>
  <si>
    <t>Festival Lovina</t>
  </si>
  <si>
    <t>Promosi MTF Surabaya</t>
  </si>
  <si>
    <t>PKB Kabupaten Buleleng/ Buleleng Expo</t>
  </si>
  <si>
    <t>Utsawa Merdangga Gong Kebyar</t>
  </si>
  <si>
    <t>Kapal Pesiar</t>
  </si>
  <si>
    <t>Karang Kerupit Labuhan Aji</t>
  </si>
  <si>
    <t>Air Terjun Sekumpul</t>
  </si>
  <si>
    <t>Air Terjun Campuhan</t>
  </si>
  <si>
    <t>Air Terjun Bertingkat</t>
  </si>
  <si>
    <t>Genting Dream</t>
  </si>
  <si>
    <t>Azamara Journey</t>
  </si>
  <si>
    <t>MV Star Clipper</t>
  </si>
  <si>
    <t>Aset BBDF</t>
  </si>
  <si>
    <t>Pemuteran Bay Festival</t>
  </si>
  <si>
    <t>Selfie Spot Wanagiri</t>
  </si>
  <si>
    <t>VIII</t>
  </si>
  <si>
    <t>JEMBRANA REGENCY</t>
  </si>
  <si>
    <t>Bunut Bolong</t>
  </si>
  <si>
    <t>Pantai Medewi</t>
  </si>
  <si>
    <t>Rambut Siwi</t>
  </si>
  <si>
    <t>Pantai Delod Berawah</t>
  </si>
  <si>
    <t>Pantai Baluk Rening</t>
  </si>
  <si>
    <t>Bendungan Palasari</t>
  </si>
  <si>
    <t>Gilimanuk</t>
  </si>
  <si>
    <t>Teluk Gilimanuk</t>
  </si>
  <si>
    <t>Sangkar Agung</t>
  </si>
  <si>
    <t>Museum Gilimanuk/Manusia Purba Situs</t>
  </si>
  <si>
    <t>Pantai Perancak</t>
  </si>
  <si>
    <t>Desa Wisata Perancak</t>
  </si>
  <si>
    <t>P. Candi Kusuma</t>
  </si>
  <si>
    <t>Pantai Pengeragoan</t>
  </si>
  <si>
    <t>Pantai Gumbrih</t>
  </si>
  <si>
    <t>Desa Wisata Gumbrih</t>
  </si>
  <si>
    <t>Pantai Pekutatan</t>
  </si>
  <si>
    <t>Desa Wisata Blimbingsari</t>
  </si>
  <si>
    <t>Desa Wisata Ekasari</t>
  </si>
  <si>
    <t>Pantai Yeh Leh</t>
  </si>
  <si>
    <t>Air Terjun Juwuk Manis</t>
  </si>
  <si>
    <t>Green Cliff</t>
  </si>
  <si>
    <t>Desa Wisata Nusantara</t>
  </si>
  <si>
    <t>Puncak JR</t>
  </si>
  <si>
    <t>Sungai Gelar</t>
  </si>
  <si>
    <t>Air Terjun Batu Belah</t>
  </si>
  <si>
    <t>Bendungan Benel</t>
  </si>
  <si>
    <t>Desa Wisata Yeh Embang Kangin</t>
  </si>
  <si>
    <t>Pantai Yeh Sumbul</t>
  </si>
  <si>
    <t>Kolam Renang Delod Berawah</t>
  </si>
  <si>
    <t>Makam Tua Buyut Lebai</t>
  </si>
  <si>
    <t>Pura Gede Perancak</t>
  </si>
  <si>
    <t>Pantai Cupel</t>
  </si>
  <si>
    <t>Munduk Nangka</t>
  </si>
  <si>
    <t>IX</t>
  </si>
  <si>
    <t>KABUPATEN TABANAN</t>
  </si>
  <si>
    <t>Tanah Lot</t>
  </si>
  <si>
    <t>Ulun Danu Beratan</t>
  </si>
  <si>
    <t>Bedugul</t>
  </si>
  <si>
    <t>Kebun Raya Bedugul</t>
  </si>
  <si>
    <t>Candi Puputan Margarana</t>
  </si>
  <si>
    <t>Alas Kedaton</t>
  </si>
  <si>
    <t>Air Panas Penatahan</t>
  </si>
  <si>
    <t>Puri Anyar Kerambitan</t>
  </si>
  <si>
    <t>Puri Gede Kerambitan</t>
  </si>
  <si>
    <t>Museum Subak</t>
  </si>
  <si>
    <t>Jati Luwih</t>
  </si>
  <si>
    <t>Taman Kupu-Kupu</t>
  </si>
  <si>
    <t>Pura Batu Karu</t>
  </si>
  <si>
    <t>TOTAL</t>
  </si>
  <si>
    <t>SOURCE</t>
  </si>
  <si>
    <t>:</t>
  </si>
  <si>
    <t xml:space="preserve">BALI GOVERNMENT TOURISM OFFICE </t>
  </si>
  <si>
    <t>SUMBER</t>
  </si>
  <si>
    <t xml:space="preserve">DINAS PARIWISATA PROVINSI BALI </t>
  </si>
  <si>
    <t>INTEREST IN BALI 2015-2021</t>
  </si>
  <si>
    <t>Garuda Wisnu Kencana</t>
  </si>
  <si>
    <t>Pura Maospahit Tonja</t>
  </si>
  <si>
    <t>Pantai Matahari Terbit Dan Bali Beach</t>
  </si>
  <si>
    <t>Pantai Duyung</t>
  </si>
  <si>
    <t>Pantai Kusumasari</t>
  </si>
  <si>
    <t>Pantai Semawang</t>
  </si>
  <si>
    <t>Pantai Sindhu</t>
  </si>
  <si>
    <t>Pantai Segara Ayu</t>
  </si>
  <si>
    <t xml:space="preserve">Pantai Karang </t>
  </si>
  <si>
    <t>Taman Inspirasi (Muntig Siokan Mertasari )</t>
  </si>
  <si>
    <t>Pantai Cemara Alit</t>
  </si>
  <si>
    <t>Pantai Pengembak dan Pantai Sukamerta</t>
  </si>
  <si>
    <t>Candi Tebing Tegallinggah</t>
  </si>
  <si>
    <t>DTW Mengening</t>
  </si>
  <si>
    <t>Hidden Canyon</t>
  </si>
  <si>
    <t>Ceking</t>
  </si>
  <si>
    <t>Taman Edelweis</t>
  </si>
  <si>
    <t>Lempuyang</t>
  </si>
  <si>
    <t>Bukit Cemara</t>
  </si>
  <si>
    <t>Puri Ayu</t>
  </si>
  <si>
    <t xml:space="preserve">Pura Jaya Prana </t>
  </si>
  <si>
    <t xml:space="preserve">Tugu Singa Ambara Raja </t>
  </si>
  <si>
    <t xml:space="preserve">Air Terjun Melanting </t>
  </si>
  <si>
    <t>Gedong Kirtya</t>
  </si>
  <si>
    <t>Pantai Lovina</t>
  </si>
  <si>
    <t>Pantai Penimbangan</t>
  </si>
  <si>
    <t>Pura Dalem Sangsit</t>
  </si>
  <si>
    <t>Pura Pucak Sinunggal</t>
  </si>
  <si>
    <t xml:space="preserve">Pura Ponjok Batu </t>
  </si>
  <si>
    <t>Air Terjun Banyumala</t>
  </si>
  <si>
    <t xml:space="preserve">Pura Batu Kursi </t>
  </si>
  <si>
    <t>Pantai Pangyangan</t>
  </si>
  <si>
    <t xml:space="preserve">Rest Area Rambut Siwi </t>
  </si>
  <si>
    <t>Desa Wisata Sangkaragung</t>
  </si>
  <si>
    <t xml:space="preserve">Puncak Mawar </t>
  </si>
  <si>
    <t>Makam Ustad Ali Bafaqih</t>
  </si>
  <si>
    <t xml:space="preserve">Pancoran Solas </t>
  </si>
  <si>
    <t>Water Blow</t>
  </si>
  <si>
    <t>Teba Majalangu</t>
  </si>
  <si>
    <t>Tukad Bindu</t>
  </si>
  <si>
    <t>Pasar Sindhu</t>
  </si>
  <si>
    <t>Puri Agung Jro Kuta</t>
  </si>
  <si>
    <t xml:space="preserve">Big Garden Coner </t>
  </si>
  <si>
    <t>Kebon Vintage</t>
  </si>
  <si>
    <t>Bali Exotic Marine Park</t>
  </si>
  <si>
    <t>Duta Orchid Garden</t>
  </si>
  <si>
    <t>TCEC</t>
  </si>
  <si>
    <t>Museum 3D</t>
  </si>
  <si>
    <t>Sekaa Barong dan Keris Sari Wisata Budaya</t>
  </si>
  <si>
    <t xml:space="preserve">Sekaa Barong dan Keris Uma Dewi Budaya  </t>
  </si>
  <si>
    <t>Pantai Mertasari</t>
  </si>
  <si>
    <t>Goa Garba</t>
  </si>
  <si>
    <t xml:space="preserve">Labuan Amuk </t>
  </si>
  <si>
    <t xml:space="preserve">Dukuh Penaban </t>
  </si>
  <si>
    <t xml:space="preserve">Maha Gangga </t>
  </si>
  <si>
    <t>Air Terjun Banyu Wana Amerta</t>
  </si>
  <si>
    <t>Regata Yacht</t>
  </si>
  <si>
    <t>Khrisna Adventure</t>
  </si>
  <si>
    <t>Taman Laut Desa Les</t>
  </si>
  <si>
    <t>Khrisna Funtastic Land</t>
  </si>
  <si>
    <t xml:space="preserve">Air Terjun Jembong </t>
  </si>
  <si>
    <t xml:space="preserve">Pantai Kerobokan </t>
  </si>
  <si>
    <t xml:space="preserve">Pantai Candi Kusuma </t>
  </si>
  <si>
    <t xml:space="preserve">Hutan Mekori </t>
  </si>
  <si>
    <t>Puri Buleleng</t>
  </si>
  <si>
    <t>Puri Kanginan</t>
  </si>
  <si>
    <t>Khrisna Water Sport</t>
  </si>
  <si>
    <t>Cruise Ship MV. Seven Seas Explore</t>
  </si>
  <si>
    <t>Cruise Ship Star Breeze</t>
  </si>
  <si>
    <t>Cruise Ship MV. Seven Seas Marine</t>
  </si>
  <si>
    <t>Cruise Ship MV. Westerdam</t>
  </si>
  <si>
    <t>Desa Wisata Kesiman Kertalangu</t>
  </si>
  <si>
    <t xml:space="preserve">Citraland Water Park Denpasar </t>
  </si>
  <si>
    <t>Trans Studio Mall</t>
  </si>
  <si>
    <t>Sekaa Barong Eka Budhi</t>
  </si>
  <si>
    <t>Amed</t>
  </si>
  <si>
    <t>Kubu</t>
  </si>
  <si>
    <t>Penaban</t>
  </si>
  <si>
    <t xml:space="preserve">Nirwana Garden </t>
  </si>
  <si>
    <t>Mantu Cager</t>
  </si>
  <si>
    <t>Pasar Kumbasari</t>
  </si>
  <si>
    <t>Taman Budaya art centre</t>
  </si>
  <si>
    <t xml:space="preserve">taman soekasada ujung </t>
  </si>
  <si>
    <t xml:space="preserve"> </t>
  </si>
  <si>
    <t>OBYEK DAN DAYA TARIK WISATA DI BALI TAHUN 2015-2024</t>
  </si>
  <si>
    <t xml:space="preserve">Brahma Vihara Arama </t>
  </si>
  <si>
    <t>Air Terjun Pucak Manik</t>
  </si>
  <si>
    <t>Air Terjun Aling-Aling dan Kawasan Sambangan</t>
  </si>
  <si>
    <t>Air Terjun Yeh Mempeh Desa Les</t>
  </si>
  <si>
    <t xml:space="preserve">Taman laut Pemuteran </t>
  </si>
  <si>
    <t>Pengrajin Pande Besi</t>
  </si>
  <si>
    <t>Pengerajin Pande Gong</t>
  </si>
  <si>
    <t>Agrowisata lalangan</t>
  </si>
  <si>
    <t>Penglukatan Pura Batu Bolong</t>
  </si>
  <si>
    <t>Cruise Ship Celebrity Millenium</t>
  </si>
  <si>
    <t>Oceania Cruise Insignia</t>
  </si>
  <si>
    <t>Museum Up Side Down</t>
  </si>
  <si>
    <t>Ekowisata Batulumbang</t>
  </si>
  <si>
    <t>Pantai Giri 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</si>
</sst>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indexed="64"/>
      </right>
      <top/>
      <bottom/>
      <diagonal/>
    </border>
    <border>
      <left style="thin">
        <color rgb="FF505050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indexed="64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50505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 style="thin">
        <color rgb="FF505050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165" fontId="7" fillId="0" borderId="0" applyFont="0" applyFill="0" applyBorder="0" applyAlignment="0" applyProtection="0"/>
    <xf numFmtId="0" fontId="13" fillId="3" borderId="37" applyNumberFormat="0" applyAlignment="0" applyProtection="0"/>
    <xf numFmtId="43" fontId="7" fillId="0" borderId="0" applyFont="0" applyFill="0" applyBorder="0" applyAlignment="0" applyProtection="0"/>
  </cellStyleXfs>
  <cellXfs count="204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9" xfId="0" applyFont="1" applyBorder="1"/>
    <xf numFmtId="0" fontId="3" fillId="0" borderId="0" xfId="0" applyFont="1"/>
    <xf numFmtId="0" fontId="3" fillId="0" borderId="10" xfId="0" applyFont="1" applyBorder="1"/>
    <xf numFmtId="3" fontId="3" fillId="0" borderId="12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3" fillId="2" borderId="14" xfId="0" applyFont="1" applyFill="1" applyBorder="1"/>
    <xf numFmtId="3" fontId="3" fillId="2" borderId="12" xfId="0" applyNumberFormat="1" applyFont="1" applyFill="1" applyBorder="1"/>
    <xf numFmtId="3" fontId="3" fillId="2" borderId="14" xfId="0" applyNumberFormat="1" applyFont="1" applyFill="1" applyBorder="1"/>
    <xf numFmtId="3" fontId="3" fillId="0" borderId="12" xfId="0" applyNumberFormat="1" applyFont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3" fillId="0" borderId="12" xfId="0" quotePrefix="1" applyNumberFormat="1" applyFont="1" applyBorder="1" applyAlignment="1">
      <alignment horizontal="right"/>
    </xf>
    <xf numFmtId="3" fontId="3" fillId="2" borderId="14" xfId="0" quotePrefix="1" applyNumberFormat="1" applyFont="1" applyFill="1" applyBorder="1" applyAlignment="1">
      <alignment horizontal="right"/>
    </xf>
    <xf numFmtId="0" fontId="3" fillId="0" borderId="15" xfId="0" applyFont="1" applyBorder="1"/>
    <xf numFmtId="0" fontId="1" fillId="0" borderId="16" xfId="0" applyFont="1" applyBorder="1"/>
    <xf numFmtId="164" fontId="1" fillId="0" borderId="11" xfId="0" applyNumberFormat="1" applyFont="1" applyBorder="1"/>
    <xf numFmtId="0" fontId="1" fillId="0" borderId="10" xfId="0" applyFont="1" applyBorder="1"/>
    <xf numFmtId="0" fontId="3" fillId="0" borderId="16" xfId="0" applyFont="1" applyBorder="1"/>
    <xf numFmtId="0" fontId="1" fillId="0" borderId="15" xfId="0" applyFont="1" applyBorder="1"/>
    <xf numFmtId="3" fontId="0" fillId="0" borderId="0" xfId="0" applyNumberFormat="1"/>
    <xf numFmtId="0" fontId="3" fillId="0" borderId="3" xfId="0" applyFont="1" applyBorder="1"/>
    <xf numFmtId="0" fontId="1" fillId="0" borderId="4" xfId="0" applyFont="1" applyBorder="1"/>
    <xf numFmtId="0" fontId="1" fillId="0" borderId="5" xfId="0" applyFont="1" applyBorder="1"/>
    <xf numFmtId="3" fontId="3" fillId="0" borderId="2" xfId="0" applyNumberFormat="1" applyFont="1" applyBorder="1"/>
    <xf numFmtId="3" fontId="3" fillId="0" borderId="10" xfId="0" applyNumberFormat="1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7" xfId="0" applyFont="1" applyBorder="1"/>
    <xf numFmtId="0" fontId="3" fillId="0" borderId="8" xfId="0" applyFont="1" applyBorder="1"/>
    <xf numFmtId="0" fontId="3" fillId="0" borderId="11" xfId="0" applyFont="1" applyBorder="1"/>
    <xf numFmtId="0" fontId="1" fillId="0" borderId="8" xfId="0" applyFont="1" applyBorder="1" applyAlignment="1">
      <alignment vertical="center"/>
    </xf>
    <xf numFmtId="3" fontId="1" fillId="0" borderId="11" xfId="0" applyNumberFormat="1" applyFont="1" applyBorder="1" applyAlignment="1">
      <alignment horizontal="right" vertical="center"/>
    </xf>
    <xf numFmtId="3" fontId="0" fillId="0" borderId="4" xfId="0" applyNumberFormat="1" applyBorder="1"/>
    <xf numFmtId="0" fontId="2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164" fontId="4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3" fillId="0" borderId="19" xfId="0" applyFont="1" applyBorder="1"/>
    <xf numFmtId="0" fontId="3" fillId="2" borderId="20" xfId="0" applyFont="1" applyFill="1" applyBorder="1"/>
    <xf numFmtId="3" fontId="3" fillId="2" borderId="20" xfId="0" applyNumberFormat="1" applyFont="1" applyFill="1" applyBorder="1"/>
    <xf numFmtId="3" fontId="3" fillId="2" borderId="20" xfId="0" applyNumberFormat="1" applyFont="1" applyFill="1" applyBorder="1" applyAlignment="1">
      <alignment horizontal="right"/>
    </xf>
    <xf numFmtId="3" fontId="3" fillId="2" borderId="20" xfId="0" quotePrefix="1" applyNumberFormat="1" applyFont="1" applyFill="1" applyBorder="1" applyAlignment="1">
      <alignment horizontal="right"/>
    </xf>
    <xf numFmtId="164" fontId="1" fillId="0" borderId="15" xfId="0" applyNumberFormat="1" applyFont="1" applyBorder="1"/>
    <xf numFmtId="3" fontId="3" fillId="0" borderId="9" xfId="0" applyNumberFormat="1" applyFont="1" applyBorder="1"/>
    <xf numFmtId="3" fontId="3" fillId="0" borderId="9" xfId="0" quotePrefix="1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3" fillId="0" borderId="3" xfId="0" applyNumberFormat="1" applyFont="1" applyBorder="1"/>
    <xf numFmtId="3" fontId="1" fillId="0" borderId="15" xfId="0" applyNumberFormat="1" applyFont="1" applyBorder="1" applyAlignment="1">
      <alignment horizontal="right" vertical="center"/>
    </xf>
    <xf numFmtId="0" fontId="5" fillId="0" borderId="21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41" fontId="0" fillId="0" borderId="25" xfId="0" applyNumberFormat="1" applyBorder="1"/>
    <xf numFmtId="41" fontId="0" fillId="0" borderId="24" xfId="0" applyNumberFormat="1" applyBorder="1"/>
    <xf numFmtId="41" fontId="3" fillId="0" borderId="12" xfId="0" quotePrefix="1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0" fillId="0" borderId="27" xfId="0" applyBorder="1"/>
    <xf numFmtId="0" fontId="0" fillId="0" borderId="25" xfId="0" applyBorder="1"/>
    <xf numFmtId="41" fontId="6" fillId="0" borderId="25" xfId="0" applyNumberFormat="1" applyFont="1" applyBorder="1"/>
    <xf numFmtId="41" fontId="6" fillId="0" borderId="22" xfId="0" applyNumberFormat="1" applyFont="1" applyBorder="1"/>
    <xf numFmtId="3" fontId="3" fillId="2" borderId="28" xfId="0" quotePrefix="1" applyNumberFormat="1" applyFont="1" applyFill="1" applyBorder="1" applyAlignment="1">
      <alignment horizontal="right"/>
    </xf>
    <xf numFmtId="3" fontId="3" fillId="2" borderId="29" xfId="0" quotePrefix="1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3" fillId="0" borderId="30" xfId="0" applyFont="1" applyBorder="1"/>
    <xf numFmtId="0" fontId="3" fillId="2" borderId="31" xfId="0" applyFont="1" applyFill="1" applyBorder="1"/>
    <xf numFmtId="3" fontId="3" fillId="2" borderId="31" xfId="0" applyNumberFormat="1" applyFont="1" applyFill="1" applyBorder="1"/>
    <xf numFmtId="3" fontId="3" fillId="2" borderId="31" xfId="0" applyNumberFormat="1" applyFont="1" applyFill="1" applyBorder="1" applyAlignment="1">
      <alignment horizontal="right"/>
    </xf>
    <xf numFmtId="3" fontId="3" fillId="2" borderId="31" xfId="0" quotePrefix="1" applyNumberFormat="1" applyFont="1" applyFill="1" applyBorder="1" applyAlignment="1">
      <alignment horizontal="right"/>
    </xf>
    <xf numFmtId="3" fontId="3" fillId="2" borderId="32" xfId="0" quotePrefix="1" applyNumberFormat="1" applyFont="1" applyFill="1" applyBorder="1" applyAlignment="1">
      <alignment horizontal="right"/>
    </xf>
    <xf numFmtId="164" fontId="1" fillId="0" borderId="16" xfId="0" applyNumberFormat="1" applyFont="1" applyBorder="1"/>
    <xf numFmtId="3" fontId="3" fillId="0" borderId="10" xfId="0" quotePrefix="1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5" xfId="0" applyNumberFormat="1" applyFont="1" applyBorder="1"/>
    <xf numFmtId="3" fontId="1" fillId="0" borderId="16" xfId="0" applyNumberFormat="1" applyFont="1" applyBorder="1" applyAlignment="1">
      <alignment horizontal="right" vertical="center"/>
    </xf>
    <xf numFmtId="41" fontId="6" fillId="0" borderId="12" xfId="0" applyNumberFormat="1" applyFont="1" applyBorder="1"/>
    <xf numFmtId="41" fontId="6" fillId="0" borderId="12" xfId="0" applyNumberFormat="1" applyFont="1" applyBorder="1" applyAlignment="1">
      <alignment wrapText="1"/>
    </xf>
    <xf numFmtId="3" fontId="3" fillId="0" borderId="33" xfId="0" applyNumberFormat="1" applyFont="1" applyBorder="1"/>
    <xf numFmtId="0" fontId="1" fillId="0" borderId="3" xfId="0" applyFont="1" applyBorder="1"/>
    <xf numFmtId="0" fontId="0" fillId="0" borderId="1" xfId="0" applyBorder="1"/>
    <xf numFmtId="0" fontId="3" fillId="0" borderId="10" xfId="0" applyFont="1" applyBorder="1" applyAlignment="1">
      <alignment wrapText="1"/>
    </xf>
    <xf numFmtId="166" fontId="0" fillId="0" borderId="0" xfId="1" applyNumberFormat="1" applyFont="1" applyAlignment="1">
      <alignment horizontal="right"/>
    </xf>
    <xf numFmtId="166" fontId="5" fillId="0" borderId="34" xfId="1" applyNumberFormat="1" applyFont="1" applyFill="1" applyBorder="1" applyAlignment="1">
      <alignment horizontal="right" vertical="center"/>
    </xf>
    <xf numFmtId="166" fontId="0" fillId="0" borderId="12" xfId="1" applyNumberFormat="1" applyFont="1" applyBorder="1" applyAlignment="1">
      <alignment horizontal="right"/>
    </xf>
    <xf numFmtId="166" fontId="5" fillId="0" borderId="11" xfId="1" applyNumberFormat="1" applyFont="1" applyBorder="1" applyAlignment="1">
      <alignment horizontal="right"/>
    </xf>
    <xf numFmtId="41" fontId="3" fillId="0" borderId="9" xfId="0" quotePrefix="1" applyNumberFormat="1" applyFont="1" applyBorder="1" applyAlignment="1">
      <alignment horizontal="right"/>
    </xf>
    <xf numFmtId="166" fontId="5" fillId="0" borderId="35" xfId="1" applyNumberFormat="1" applyFont="1" applyFill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6" fontId="5" fillId="0" borderId="17" xfId="1" applyNumberFormat="1" applyFont="1" applyBorder="1" applyAlignment="1">
      <alignment horizontal="right"/>
    </xf>
    <xf numFmtId="166" fontId="5" fillId="0" borderId="15" xfId="1" applyNumberFormat="1" applyFont="1" applyBorder="1" applyAlignment="1">
      <alignment horizontal="right"/>
    </xf>
    <xf numFmtId="0" fontId="0" fillId="0" borderId="10" xfId="0" applyBorder="1"/>
    <xf numFmtId="166" fontId="5" fillId="0" borderId="11" xfId="1" applyNumberFormat="1" applyFont="1" applyFill="1" applyBorder="1" applyAlignment="1">
      <alignment horizontal="right"/>
    </xf>
    <xf numFmtId="41" fontId="3" fillId="0" borderId="10" xfId="0" quotePrefix="1" applyNumberFormat="1" applyFont="1" applyBorder="1" applyAlignment="1">
      <alignment horizontal="right"/>
    </xf>
    <xf numFmtId="41" fontId="0" fillId="0" borderId="36" xfId="0" applyNumberFormat="1" applyBorder="1"/>
    <xf numFmtId="41" fontId="0" fillId="0" borderId="2" xfId="0" applyNumberFormat="1" applyBorder="1"/>
    <xf numFmtId="0" fontId="0" fillId="0" borderId="12" xfId="0" applyBorder="1"/>
    <xf numFmtId="166" fontId="0" fillId="0" borderId="2" xfId="1" applyNumberFormat="1" applyFont="1" applyBorder="1" applyAlignment="1">
      <alignment horizontal="right"/>
    </xf>
    <xf numFmtId="164" fontId="6" fillId="0" borderId="12" xfId="0" applyNumberFormat="1" applyFont="1" applyBorder="1"/>
    <xf numFmtId="164" fontId="6" fillId="0" borderId="10" xfId="0" applyNumberFormat="1" applyFont="1" applyBorder="1"/>
    <xf numFmtId="164" fontId="8" fillId="0" borderId="16" xfId="0" applyNumberFormat="1" applyFont="1" applyBorder="1"/>
    <xf numFmtId="164" fontId="8" fillId="0" borderId="11" xfId="0" applyNumberFormat="1" applyFont="1" applyBorder="1"/>
    <xf numFmtId="3" fontId="3" fillId="0" borderId="0" xfId="0" applyNumberFormat="1" applyFont="1" applyAlignment="1">
      <alignment horizontal="right"/>
    </xf>
    <xf numFmtId="41" fontId="3" fillId="0" borderId="0" xfId="0" quotePrefix="1" applyNumberFormat="1" applyFont="1" applyAlignment="1">
      <alignment horizontal="right"/>
    </xf>
    <xf numFmtId="0" fontId="9" fillId="0" borderId="0" xfId="0" applyFont="1"/>
    <xf numFmtId="166" fontId="6" fillId="0" borderId="12" xfId="1" applyNumberFormat="1" applyFont="1" applyBorder="1" applyAlignment="1">
      <alignment horizontal="right"/>
    </xf>
    <xf numFmtId="0" fontId="6" fillId="0" borderId="0" xfId="0" applyFont="1"/>
    <xf numFmtId="0" fontId="11" fillId="0" borderId="9" xfId="0" applyFont="1" applyBorder="1"/>
    <xf numFmtId="0" fontId="11" fillId="0" borderId="0" xfId="0" applyFont="1"/>
    <xf numFmtId="0" fontId="10" fillId="0" borderId="10" xfId="0" applyFont="1" applyBorder="1"/>
    <xf numFmtId="3" fontId="10" fillId="0" borderId="12" xfId="0" applyNumberFormat="1" applyFont="1" applyBorder="1"/>
    <xf numFmtId="3" fontId="10" fillId="0" borderId="9" xfId="0" applyNumberFormat="1" applyFont="1" applyBorder="1"/>
    <xf numFmtId="3" fontId="10" fillId="0" borderId="10" xfId="0" applyNumberFormat="1" applyFont="1" applyBorder="1"/>
    <xf numFmtId="41" fontId="6" fillId="0" borderId="10" xfId="0" applyNumberFormat="1" applyFont="1" applyBorder="1"/>
    <xf numFmtId="0" fontId="10" fillId="0" borderId="9" xfId="0" applyFont="1" applyBorder="1" applyAlignment="1">
      <alignment horizontal="center"/>
    </xf>
    <xf numFmtId="3" fontId="10" fillId="0" borderId="10" xfId="0" quotePrefix="1" applyNumberFormat="1" applyFont="1" applyBorder="1" applyAlignment="1">
      <alignment horizontal="right"/>
    </xf>
    <xf numFmtId="3" fontId="10" fillId="0" borderId="9" xfId="0" quotePrefix="1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12" xfId="0" quotePrefix="1" applyNumberFormat="1" applyFont="1" applyBorder="1" applyAlignment="1">
      <alignment horizontal="right"/>
    </xf>
    <xf numFmtId="41" fontId="10" fillId="0" borderId="12" xfId="0" quotePrefix="1" applyNumberFormat="1" applyFont="1" applyBorder="1" applyAlignment="1">
      <alignment horizontal="right"/>
    </xf>
    <xf numFmtId="3" fontId="10" fillId="0" borderId="9" xfId="0" applyNumberFormat="1" applyFont="1" applyBorder="1" applyAlignment="1">
      <alignment horizontal="right"/>
    </xf>
    <xf numFmtId="3" fontId="10" fillId="0" borderId="10" xfId="0" applyNumberFormat="1" applyFont="1" applyBorder="1" applyAlignment="1">
      <alignment horizontal="right"/>
    </xf>
    <xf numFmtId="41" fontId="10" fillId="0" borderId="12" xfId="0" applyNumberFormat="1" applyFont="1" applyBorder="1" applyAlignment="1">
      <alignment horizontal="right"/>
    </xf>
    <xf numFmtId="0" fontId="11" fillId="0" borderId="10" xfId="0" applyFont="1" applyBorder="1"/>
    <xf numFmtId="0" fontId="10" fillId="0" borderId="9" xfId="0" applyFont="1" applyBorder="1"/>
    <xf numFmtId="0" fontId="10" fillId="0" borderId="0" xfId="0" applyFont="1"/>
    <xf numFmtId="164" fontId="10" fillId="0" borderId="12" xfId="0" applyNumberFormat="1" applyFont="1" applyBorder="1"/>
    <xf numFmtId="164" fontId="10" fillId="0" borderId="9" xfId="0" applyNumberFormat="1" applyFont="1" applyBorder="1"/>
    <xf numFmtId="164" fontId="10" fillId="0" borderId="10" xfId="0" quotePrefix="1" applyNumberFormat="1" applyFont="1" applyBorder="1" applyAlignment="1">
      <alignment horizontal="right"/>
    </xf>
    <xf numFmtId="164" fontId="10" fillId="0" borderId="9" xfId="0" quotePrefix="1" applyNumberFormat="1" applyFont="1" applyBorder="1" applyAlignment="1">
      <alignment horizontal="right"/>
    </xf>
    <xf numFmtId="3" fontId="10" fillId="0" borderId="0" xfId="0" applyNumberFormat="1" applyFont="1"/>
    <xf numFmtId="41" fontId="0" fillId="0" borderId="0" xfId="0" applyNumberFormat="1"/>
    <xf numFmtId="166" fontId="6" fillId="0" borderId="0" xfId="1" applyNumberFormat="1" applyFont="1" applyBorder="1" applyAlignment="1">
      <alignment horizontal="right"/>
    </xf>
    <xf numFmtId="166" fontId="6" fillId="0" borderId="0" xfId="1" applyNumberFormat="1" applyFont="1" applyAlignment="1">
      <alignment horizontal="right"/>
    </xf>
    <xf numFmtId="166" fontId="6" fillId="0" borderId="10" xfId="1" applyNumberFormat="1" applyFont="1" applyBorder="1" applyAlignment="1">
      <alignment horizontal="right"/>
    </xf>
    <xf numFmtId="41" fontId="6" fillId="0" borderId="24" xfId="0" applyNumberFormat="1" applyFont="1" applyBorder="1"/>
    <xf numFmtId="166" fontId="6" fillId="0" borderId="12" xfId="1" applyNumberFormat="1" applyFont="1" applyFill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0" fontId="3" fillId="2" borderId="10" xfId="0" applyFont="1" applyFill="1" applyBorder="1"/>
    <xf numFmtId="166" fontId="8" fillId="0" borderId="11" xfId="1" applyNumberFormat="1" applyFont="1" applyBorder="1" applyAlignment="1">
      <alignment horizontal="right"/>
    </xf>
    <xf numFmtId="166" fontId="8" fillId="0" borderId="15" xfId="1" applyNumberFormat="1" applyFont="1" applyBorder="1" applyAlignment="1">
      <alignment horizontal="right"/>
    </xf>
    <xf numFmtId="0" fontId="12" fillId="0" borderId="0" xfId="0" applyFont="1"/>
    <xf numFmtId="0" fontId="6" fillId="0" borderId="12" xfId="0" applyFont="1" applyBorder="1"/>
    <xf numFmtId="0" fontId="6" fillId="0" borderId="10" xfId="0" applyFont="1" applyBorder="1"/>
    <xf numFmtId="0" fontId="6" fillId="0" borderId="2" xfId="0" applyFont="1" applyBorder="1"/>
    <xf numFmtId="0" fontId="6" fillId="0" borderId="5" xfId="0" applyFont="1" applyBorder="1"/>
    <xf numFmtId="164" fontId="1" fillId="0" borderId="17" xfId="0" applyNumberFormat="1" applyFont="1" applyBorder="1"/>
    <xf numFmtId="164" fontId="8" fillId="0" borderId="5" xfId="0" applyNumberFormat="1" applyFont="1" applyBorder="1"/>
    <xf numFmtId="164" fontId="8" fillId="0" borderId="2" xfId="0" applyNumberFormat="1" applyFont="1" applyBorder="1"/>
    <xf numFmtId="0" fontId="9" fillId="0" borderId="10" xfId="0" applyFont="1" applyBorder="1"/>
    <xf numFmtId="166" fontId="5" fillId="0" borderId="16" xfId="1" applyNumberFormat="1" applyFont="1" applyFill="1" applyBorder="1" applyAlignment="1">
      <alignment horizontal="right"/>
    </xf>
    <xf numFmtId="166" fontId="5" fillId="0" borderId="2" xfId="1" applyNumberFormat="1" applyFont="1" applyFill="1" applyBorder="1" applyAlignment="1">
      <alignment horizontal="right" vertical="center"/>
    </xf>
    <xf numFmtId="0" fontId="9" fillId="0" borderId="12" xfId="0" applyFont="1" applyBorder="1"/>
    <xf numFmtId="3" fontId="0" fillId="0" borderId="12" xfId="0" applyNumberFormat="1" applyBorder="1"/>
    <xf numFmtId="3" fontId="0" fillId="0" borderId="10" xfId="0" applyNumberFormat="1" applyBorder="1"/>
    <xf numFmtId="3" fontId="6" fillId="0" borderId="12" xfId="0" applyNumberFormat="1" applyFont="1" applyBorder="1"/>
    <xf numFmtId="3" fontId="6" fillId="0" borderId="10" xfId="0" applyNumberFormat="1" applyFont="1" applyBorder="1"/>
    <xf numFmtId="43" fontId="6" fillId="0" borderId="12" xfId="0" applyNumberFormat="1" applyFont="1" applyBorder="1"/>
    <xf numFmtId="43" fontId="6" fillId="0" borderId="10" xfId="0" applyNumberFormat="1" applyFont="1" applyBorder="1"/>
    <xf numFmtId="3" fontId="5" fillId="0" borderId="11" xfId="0" applyNumberFormat="1" applyFont="1" applyBorder="1"/>
    <xf numFmtId="3" fontId="5" fillId="0" borderId="16" xfId="0" applyNumberFormat="1" applyFont="1" applyBorder="1"/>
    <xf numFmtId="0" fontId="13" fillId="3" borderId="37" xfId="2"/>
    <xf numFmtId="0" fontId="3" fillId="0" borderId="6" xfId="0" applyFont="1" applyBorder="1" applyAlignment="1">
      <alignment horizontal="center"/>
    </xf>
    <xf numFmtId="0" fontId="15" fillId="0" borderId="0" xfId="0" applyFont="1"/>
    <xf numFmtId="166" fontId="14" fillId="0" borderId="12" xfId="3" applyNumberFormat="1" applyFont="1" applyFill="1" applyBorder="1"/>
    <xf numFmtId="164" fontId="6" fillId="0" borderId="0" xfId="0" applyNumberFormat="1" applyFont="1"/>
    <xf numFmtId="164" fontId="8" fillId="2" borderId="11" xfId="0" applyNumberFormat="1" applyFont="1" applyFill="1" applyBorder="1"/>
    <xf numFmtId="164" fontId="8" fillId="2" borderId="16" xfId="0" applyNumberFormat="1" applyFont="1" applyFill="1" applyBorder="1"/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">
    <cellStyle name="Check Cell" xfId="2" builtinId="23"/>
    <cellStyle name="Comma" xfId="1" builtinId="3"/>
    <cellStyle name="Comma 2" xfId="3" xr:uid="{3D474C70-7AAE-4735-BD89-29F4E0823B6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5"/>
  <sheetViews>
    <sheetView tabSelected="1" topLeftCell="A4" zoomScale="84" zoomScaleNormal="84" workbookViewId="0">
      <pane ySplit="5" topLeftCell="A258" activePane="bottomLeft" state="frozen"/>
      <selection activeCell="A4" sqref="A4"/>
      <selection pane="bottomLeft" activeCell="A274" sqref="A274"/>
    </sheetView>
  </sheetViews>
  <sheetFormatPr defaultRowHeight="14.4" x14ac:dyDescent="0.3"/>
  <cols>
    <col min="2" max="2" width="2.44140625" customWidth="1"/>
    <col min="3" max="3" width="2" customWidth="1"/>
    <col min="4" max="4" width="41.44140625" customWidth="1"/>
    <col min="5" max="9" width="10.6640625" customWidth="1"/>
    <col min="10" max="10" width="11.88671875" customWidth="1"/>
    <col min="11" max="11" width="10.44140625" customWidth="1"/>
    <col min="12" max="12" width="9.6640625" bestFit="1" customWidth="1"/>
    <col min="13" max="13" width="9.33203125" customWidth="1"/>
    <col min="14" max="14" width="10.5546875" customWidth="1"/>
    <col min="16" max="16" width="11.5546875" style="98" bestFit="1" customWidth="1"/>
    <col min="17" max="17" width="10.5546875" style="98" bestFit="1" customWidth="1"/>
    <col min="18" max="18" width="12" customWidth="1"/>
    <col min="19" max="19" width="11.88671875" customWidth="1"/>
    <col min="20" max="20" width="12.5546875" customWidth="1"/>
    <col min="21" max="21" width="14.6640625" customWidth="1"/>
    <col min="256" max="256" width="2.44140625" customWidth="1"/>
    <col min="257" max="257" width="2" customWidth="1"/>
    <col min="258" max="258" width="35.33203125" customWidth="1"/>
    <col min="259" max="265" width="10.6640625" customWidth="1"/>
    <col min="512" max="512" width="2.44140625" customWidth="1"/>
    <col min="513" max="513" width="2" customWidth="1"/>
    <col min="514" max="514" width="35.33203125" customWidth="1"/>
    <col min="515" max="521" width="10.6640625" customWidth="1"/>
    <col min="768" max="768" width="2.44140625" customWidth="1"/>
    <col min="769" max="769" width="2" customWidth="1"/>
    <col min="770" max="770" width="35.33203125" customWidth="1"/>
    <col min="771" max="777" width="10.6640625" customWidth="1"/>
    <col min="1024" max="1024" width="2.44140625" customWidth="1"/>
    <col min="1025" max="1025" width="2" customWidth="1"/>
    <col min="1026" max="1026" width="35.33203125" customWidth="1"/>
    <col min="1027" max="1033" width="10.6640625" customWidth="1"/>
    <col min="1280" max="1280" width="2.44140625" customWidth="1"/>
    <col min="1281" max="1281" width="2" customWidth="1"/>
    <col min="1282" max="1282" width="35.33203125" customWidth="1"/>
    <col min="1283" max="1289" width="10.6640625" customWidth="1"/>
    <col min="1536" max="1536" width="2.44140625" customWidth="1"/>
    <col min="1537" max="1537" width="2" customWidth="1"/>
    <col min="1538" max="1538" width="35.33203125" customWidth="1"/>
    <col min="1539" max="1545" width="10.6640625" customWidth="1"/>
    <col min="1792" max="1792" width="2.44140625" customWidth="1"/>
    <col min="1793" max="1793" width="2" customWidth="1"/>
    <col min="1794" max="1794" width="35.33203125" customWidth="1"/>
    <col min="1795" max="1801" width="10.6640625" customWidth="1"/>
    <col min="2048" max="2048" width="2.44140625" customWidth="1"/>
    <col min="2049" max="2049" width="2" customWidth="1"/>
    <col min="2050" max="2050" width="35.33203125" customWidth="1"/>
    <col min="2051" max="2057" width="10.6640625" customWidth="1"/>
    <col min="2304" max="2304" width="2.44140625" customWidth="1"/>
    <col min="2305" max="2305" width="2" customWidth="1"/>
    <col min="2306" max="2306" width="35.33203125" customWidth="1"/>
    <col min="2307" max="2313" width="10.6640625" customWidth="1"/>
    <col min="2560" max="2560" width="2.44140625" customWidth="1"/>
    <col min="2561" max="2561" width="2" customWidth="1"/>
    <col min="2562" max="2562" width="35.33203125" customWidth="1"/>
    <col min="2563" max="2569" width="10.6640625" customWidth="1"/>
    <col min="2816" max="2816" width="2.44140625" customWidth="1"/>
    <col min="2817" max="2817" width="2" customWidth="1"/>
    <col min="2818" max="2818" width="35.33203125" customWidth="1"/>
    <col min="2819" max="2825" width="10.6640625" customWidth="1"/>
    <col min="3072" max="3072" width="2.44140625" customWidth="1"/>
    <col min="3073" max="3073" width="2" customWidth="1"/>
    <col min="3074" max="3074" width="35.33203125" customWidth="1"/>
    <col min="3075" max="3081" width="10.6640625" customWidth="1"/>
    <col min="3328" max="3328" width="2.44140625" customWidth="1"/>
    <col min="3329" max="3329" width="2" customWidth="1"/>
    <col min="3330" max="3330" width="35.33203125" customWidth="1"/>
    <col min="3331" max="3337" width="10.6640625" customWidth="1"/>
    <col min="3584" max="3584" width="2.44140625" customWidth="1"/>
    <col min="3585" max="3585" width="2" customWidth="1"/>
    <col min="3586" max="3586" width="35.33203125" customWidth="1"/>
    <col min="3587" max="3593" width="10.6640625" customWidth="1"/>
    <col min="3840" max="3840" width="2.44140625" customWidth="1"/>
    <col min="3841" max="3841" width="2" customWidth="1"/>
    <col min="3842" max="3842" width="35.33203125" customWidth="1"/>
    <col min="3843" max="3849" width="10.6640625" customWidth="1"/>
    <col min="4096" max="4096" width="2.44140625" customWidth="1"/>
    <col min="4097" max="4097" width="2" customWidth="1"/>
    <col min="4098" max="4098" width="35.33203125" customWidth="1"/>
    <col min="4099" max="4105" width="10.6640625" customWidth="1"/>
    <col min="4352" max="4352" width="2.44140625" customWidth="1"/>
    <col min="4353" max="4353" width="2" customWidth="1"/>
    <col min="4354" max="4354" width="35.33203125" customWidth="1"/>
    <col min="4355" max="4361" width="10.6640625" customWidth="1"/>
    <col min="4608" max="4608" width="2.44140625" customWidth="1"/>
    <col min="4609" max="4609" width="2" customWidth="1"/>
    <col min="4610" max="4610" width="35.33203125" customWidth="1"/>
    <col min="4611" max="4617" width="10.6640625" customWidth="1"/>
    <col min="4864" max="4864" width="2.44140625" customWidth="1"/>
    <col min="4865" max="4865" width="2" customWidth="1"/>
    <col min="4866" max="4866" width="35.33203125" customWidth="1"/>
    <col min="4867" max="4873" width="10.6640625" customWidth="1"/>
    <col min="5120" max="5120" width="2.44140625" customWidth="1"/>
    <col min="5121" max="5121" width="2" customWidth="1"/>
    <col min="5122" max="5122" width="35.33203125" customWidth="1"/>
    <col min="5123" max="5129" width="10.6640625" customWidth="1"/>
    <col min="5376" max="5376" width="2.44140625" customWidth="1"/>
    <col min="5377" max="5377" width="2" customWidth="1"/>
    <col min="5378" max="5378" width="35.33203125" customWidth="1"/>
    <col min="5379" max="5385" width="10.6640625" customWidth="1"/>
    <col min="5632" max="5632" width="2.44140625" customWidth="1"/>
    <col min="5633" max="5633" width="2" customWidth="1"/>
    <col min="5634" max="5634" width="35.33203125" customWidth="1"/>
    <col min="5635" max="5641" width="10.6640625" customWidth="1"/>
    <col min="5888" max="5888" width="2.44140625" customWidth="1"/>
    <col min="5889" max="5889" width="2" customWidth="1"/>
    <col min="5890" max="5890" width="35.33203125" customWidth="1"/>
    <col min="5891" max="5897" width="10.6640625" customWidth="1"/>
    <col min="6144" max="6144" width="2.44140625" customWidth="1"/>
    <col min="6145" max="6145" width="2" customWidth="1"/>
    <col min="6146" max="6146" width="35.33203125" customWidth="1"/>
    <col min="6147" max="6153" width="10.6640625" customWidth="1"/>
    <col min="6400" max="6400" width="2.44140625" customWidth="1"/>
    <col min="6401" max="6401" width="2" customWidth="1"/>
    <col min="6402" max="6402" width="35.33203125" customWidth="1"/>
    <col min="6403" max="6409" width="10.6640625" customWidth="1"/>
    <col min="6656" max="6656" width="2.44140625" customWidth="1"/>
    <col min="6657" max="6657" width="2" customWidth="1"/>
    <col min="6658" max="6658" width="35.33203125" customWidth="1"/>
    <col min="6659" max="6665" width="10.6640625" customWidth="1"/>
    <col min="6912" max="6912" width="2.44140625" customWidth="1"/>
    <col min="6913" max="6913" width="2" customWidth="1"/>
    <col min="6914" max="6914" width="35.33203125" customWidth="1"/>
    <col min="6915" max="6921" width="10.6640625" customWidth="1"/>
    <col min="7168" max="7168" width="2.44140625" customWidth="1"/>
    <col min="7169" max="7169" width="2" customWidth="1"/>
    <col min="7170" max="7170" width="35.33203125" customWidth="1"/>
    <col min="7171" max="7177" width="10.6640625" customWidth="1"/>
    <col min="7424" max="7424" width="2.44140625" customWidth="1"/>
    <col min="7425" max="7425" width="2" customWidth="1"/>
    <col min="7426" max="7426" width="35.33203125" customWidth="1"/>
    <col min="7427" max="7433" width="10.6640625" customWidth="1"/>
    <col min="7680" max="7680" width="2.44140625" customWidth="1"/>
    <col min="7681" max="7681" width="2" customWidth="1"/>
    <col min="7682" max="7682" width="35.33203125" customWidth="1"/>
    <col min="7683" max="7689" width="10.6640625" customWidth="1"/>
    <col min="7936" max="7936" width="2.44140625" customWidth="1"/>
    <col min="7937" max="7937" width="2" customWidth="1"/>
    <col min="7938" max="7938" width="35.33203125" customWidth="1"/>
    <col min="7939" max="7945" width="10.6640625" customWidth="1"/>
    <col min="8192" max="8192" width="2.44140625" customWidth="1"/>
    <col min="8193" max="8193" width="2" customWidth="1"/>
    <col min="8194" max="8194" width="35.33203125" customWidth="1"/>
    <col min="8195" max="8201" width="10.6640625" customWidth="1"/>
    <col min="8448" max="8448" width="2.44140625" customWidth="1"/>
    <col min="8449" max="8449" width="2" customWidth="1"/>
    <col min="8450" max="8450" width="35.33203125" customWidth="1"/>
    <col min="8451" max="8457" width="10.6640625" customWidth="1"/>
    <col min="8704" max="8704" width="2.44140625" customWidth="1"/>
    <col min="8705" max="8705" width="2" customWidth="1"/>
    <col min="8706" max="8706" width="35.33203125" customWidth="1"/>
    <col min="8707" max="8713" width="10.6640625" customWidth="1"/>
    <col min="8960" max="8960" width="2.44140625" customWidth="1"/>
    <col min="8961" max="8961" width="2" customWidth="1"/>
    <col min="8962" max="8962" width="35.33203125" customWidth="1"/>
    <col min="8963" max="8969" width="10.6640625" customWidth="1"/>
    <col min="9216" max="9216" width="2.44140625" customWidth="1"/>
    <col min="9217" max="9217" width="2" customWidth="1"/>
    <col min="9218" max="9218" width="35.33203125" customWidth="1"/>
    <col min="9219" max="9225" width="10.6640625" customWidth="1"/>
    <col min="9472" max="9472" width="2.44140625" customWidth="1"/>
    <col min="9473" max="9473" width="2" customWidth="1"/>
    <col min="9474" max="9474" width="35.33203125" customWidth="1"/>
    <col min="9475" max="9481" width="10.6640625" customWidth="1"/>
    <col min="9728" max="9728" width="2.44140625" customWidth="1"/>
    <col min="9729" max="9729" width="2" customWidth="1"/>
    <col min="9730" max="9730" width="35.33203125" customWidth="1"/>
    <col min="9731" max="9737" width="10.6640625" customWidth="1"/>
    <col min="9984" max="9984" width="2.44140625" customWidth="1"/>
    <col min="9985" max="9985" width="2" customWidth="1"/>
    <col min="9986" max="9986" width="35.33203125" customWidth="1"/>
    <col min="9987" max="9993" width="10.6640625" customWidth="1"/>
    <col min="10240" max="10240" width="2.44140625" customWidth="1"/>
    <col min="10241" max="10241" width="2" customWidth="1"/>
    <col min="10242" max="10242" width="35.33203125" customWidth="1"/>
    <col min="10243" max="10249" width="10.6640625" customWidth="1"/>
    <col min="10496" max="10496" width="2.44140625" customWidth="1"/>
    <col min="10497" max="10497" width="2" customWidth="1"/>
    <col min="10498" max="10498" width="35.33203125" customWidth="1"/>
    <col min="10499" max="10505" width="10.6640625" customWidth="1"/>
    <col min="10752" max="10752" width="2.44140625" customWidth="1"/>
    <col min="10753" max="10753" width="2" customWidth="1"/>
    <col min="10754" max="10754" width="35.33203125" customWidth="1"/>
    <col min="10755" max="10761" width="10.6640625" customWidth="1"/>
    <col min="11008" max="11008" width="2.44140625" customWidth="1"/>
    <col min="11009" max="11009" width="2" customWidth="1"/>
    <col min="11010" max="11010" width="35.33203125" customWidth="1"/>
    <col min="11011" max="11017" width="10.6640625" customWidth="1"/>
    <col min="11264" max="11264" width="2.44140625" customWidth="1"/>
    <col min="11265" max="11265" width="2" customWidth="1"/>
    <col min="11266" max="11266" width="35.33203125" customWidth="1"/>
    <col min="11267" max="11273" width="10.6640625" customWidth="1"/>
    <col min="11520" max="11520" width="2.44140625" customWidth="1"/>
    <col min="11521" max="11521" width="2" customWidth="1"/>
    <col min="11522" max="11522" width="35.33203125" customWidth="1"/>
    <col min="11523" max="11529" width="10.6640625" customWidth="1"/>
    <col min="11776" max="11776" width="2.44140625" customWidth="1"/>
    <col min="11777" max="11777" width="2" customWidth="1"/>
    <col min="11778" max="11778" width="35.33203125" customWidth="1"/>
    <col min="11779" max="11785" width="10.6640625" customWidth="1"/>
    <col min="12032" max="12032" width="2.44140625" customWidth="1"/>
    <col min="12033" max="12033" width="2" customWidth="1"/>
    <col min="12034" max="12034" width="35.33203125" customWidth="1"/>
    <col min="12035" max="12041" width="10.6640625" customWidth="1"/>
    <col min="12288" max="12288" width="2.44140625" customWidth="1"/>
    <col min="12289" max="12289" width="2" customWidth="1"/>
    <col min="12290" max="12290" width="35.33203125" customWidth="1"/>
    <col min="12291" max="12297" width="10.6640625" customWidth="1"/>
    <col min="12544" max="12544" width="2.44140625" customWidth="1"/>
    <col min="12545" max="12545" width="2" customWidth="1"/>
    <col min="12546" max="12546" width="35.33203125" customWidth="1"/>
    <col min="12547" max="12553" width="10.6640625" customWidth="1"/>
    <col min="12800" max="12800" width="2.44140625" customWidth="1"/>
    <col min="12801" max="12801" width="2" customWidth="1"/>
    <col min="12802" max="12802" width="35.33203125" customWidth="1"/>
    <col min="12803" max="12809" width="10.6640625" customWidth="1"/>
    <col min="13056" max="13056" width="2.44140625" customWidth="1"/>
    <col min="13057" max="13057" width="2" customWidth="1"/>
    <col min="13058" max="13058" width="35.33203125" customWidth="1"/>
    <col min="13059" max="13065" width="10.6640625" customWidth="1"/>
    <col min="13312" max="13312" width="2.44140625" customWidth="1"/>
    <col min="13313" max="13313" width="2" customWidth="1"/>
    <col min="13314" max="13314" width="35.33203125" customWidth="1"/>
    <col min="13315" max="13321" width="10.6640625" customWidth="1"/>
    <col min="13568" max="13568" width="2.44140625" customWidth="1"/>
    <col min="13569" max="13569" width="2" customWidth="1"/>
    <col min="13570" max="13570" width="35.33203125" customWidth="1"/>
    <col min="13571" max="13577" width="10.6640625" customWidth="1"/>
    <col min="13824" max="13824" width="2.44140625" customWidth="1"/>
    <col min="13825" max="13825" width="2" customWidth="1"/>
    <col min="13826" max="13826" width="35.33203125" customWidth="1"/>
    <col min="13827" max="13833" width="10.6640625" customWidth="1"/>
    <col min="14080" max="14080" width="2.44140625" customWidth="1"/>
    <col min="14081" max="14081" width="2" customWidth="1"/>
    <col min="14082" max="14082" width="35.33203125" customWidth="1"/>
    <col min="14083" max="14089" width="10.6640625" customWidth="1"/>
    <col min="14336" max="14336" width="2.44140625" customWidth="1"/>
    <col min="14337" max="14337" width="2" customWidth="1"/>
    <col min="14338" max="14338" width="35.33203125" customWidth="1"/>
    <col min="14339" max="14345" width="10.6640625" customWidth="1"/>
    <col min="14592" max="14592" width="2.44140625" customWidth="1"/>
    <col min="14593" max="14593" width="2" customWidth="1"/>
    <col min="14594" max="14594" width="35.33203125" customWidth="1"/>
    <col min="14595" max="14601" width="10.6640625" customWidth="1"/>
    <col min="14848" max="14848" width="2.44140625" customWidth="1"/>
    <col min="14849" max="14849" width="2" customWidth="1"/>
    <col min="14850" max="14850" width="35.33203125" customWidth="1"/>
    <col min="14851" max="14857" width="10.6640625" customWidth="1"/>
    <col min="15104" max="15104" width="2.44140625" customWidth="1"/>
    <col min="15105" max="15105" width="2" customWidth="1"/>
    <col min="15106" max="15106" width="35.33203125" customWidth="1"/>
    <col min="15107" max="15113" width="10.6640625" customWidth="1"/>
    <col min="15360" max="15360" width="2.44140625" customWidth="1"/>
    <col min="15361" max="15361" width="2" customWidth="1"/>
    <col min="15362" max="15362" width="35.33203125" customWidth="1"/>
    <col min="15363" max="15369" width="10.6640625" customWidth="1"/>
    <col min="15616" max="15616" width="2.44140625" customWidth="1"/>
    <col min="15617" max="15617" width="2" customWidth="1"/>
    <col min="15618" max="15618" width="35.33203125" customWidth="1"/>
    <col min="15619" max="15625" width="10.6640625" customWidth="1"/>
    <col min="15872" max="15872" width="2.44140625" customWidth="1"/>
    <col min="15873" max="15873" width="2" customWidth="1"/>
    <col min="15874" max="15874" width="35.33203125" customWidth="1"/>
    <col min="15875" max="15881" width="10.6640625" customWidth="1"/>
    <col min="16128" max="16128" width="2.44140625" customWidth="1"/>
    <col min="16129" max="16129" width="2" customWidth="1"/>
    <col min="16130" max="16130" width="35.33203125" customWidth="1"/>
    <col min="16131" max="16137" width="10.6640625" customWidth="1"/>
  </cols>
  <sheetData>
    <row r="1" spans="1:21" x14ac:dyDescent="0.3">
      <c r="B1" s="1"/>
      <c r="C1" s="1"/>
      <c r="D1" s="1" t="s">
        <v>0</v>
      </c>
    </row>
    <row r="2" spans="1:21" x14ac:dyDescent="0.3">
      <c r="A2" s="2" t="s">
        <v>1</v>
      </c>
      <c r="B2" s="1"/>
      <c r="C2" s="1"/>
      <c r="D2" s="2" t="s">
        <v>198</v>
      </c>
    </row>
    <row r="3" spans="1:21" x14ac:dyDescent="0.3">
      <c r="A3" s="1" t="s">
        <v>2</v>
      </c>
      <c r="B3" s="1"/>
      <c r="C3" s="1"/>
      <c r="D3" s="1" t="s">
        <v>3</v>
      </c>
    </row>
    <row r="4" spans="1:21" x14ac:dyDescent="0.3">
      <c r="A4" s="1"/>
      <c r="B4" s="1"/>
      <c r="C4" s="1"/>
      <c r="D4" s="1" t="s">
        <v>283</v>
      </c>
    </row>
    <row r="5" spans="1:21" x14ac:dyDescent="0.3">
      <c r="G5" s="96"/>
    </row>
    <row r="6" spans="1:21" x14ac:dyDescent="0.3">
      <c r="A6" s="192" t="s">
        <v>4</v>
      </c>
      <c r="B6" s="3"/>
      <c r="C6" s="4"/>
      <c r="D6" s="194" t="s">
        <v>5</v>
      </c>
      <c r="E6" s="196">
        <v>2015</v>
      </c>
      <c r="F6" s="198">
        <v>2016</v>
      </c>
      <c r="G6" s="196">
        <v>2017</v>
      </c>
      <c r="H6" s="201">
        <v>2018</v>
      </c>
      <c r="I6" s="194"/>
      <c r="J6" s="200">
        <v>2019</v>
      </c>
      <c r="K6" s="201"/>
      <c r="L6" s="188">
        <v>2020</v>
      </c>
      <c r="M6" s="189"/>
      <c r="N6" s="188">
        <v>2021</v>
      </c>
      <c r="O6" s="189"/>
      <c r="P6" s="188">
        <v>2022</v>
      </c>
      <c r="Q6" s="189"/>
      <c r="R6" s="188">
        <v>2023</v>
      </c>
      <c r="S6" s="189"/>
      <c r="T6" s="184">
        <v>2024</v>
      </c>
      <c r="U6" s="185"/>
    </row>
    <row r="7" spans="1:21" x14ac:dyDescent="0.3">
      <c r="A7" s="193"/>
      <c r="B7" s="5"/>
      <c r="C7" s="6"/>
      <c r="D7" s="195"/>
      <c r="E7" s="197"/>
      <c r="F7" s="199"/>
      <c r="G7" s="197"/>
      <c r="H7" s="203"/>
      <c r="I7" s="195"/>
      <c r="J7" s="202"/>
      <c r="K7" s="203"/>
      <c r="L7" s="188"/>
      <c r="M7" s="189"/>
      <c r="N7" s="188"/>
      <c r="O7" s="189"/>
      <c r="P7" s="188"/>
      <c r="Q7" s="189"/>
      <c r="R7" s="190"/>
      <c r="S7" s="191"/>
      <c r="T7" s="186"/>
      <c r="U7" s="187"/>
    </row>
    <row r="8" spans="1:21" x14ac:dyDescent="0.3">
      <c r="A8" s="7"/>
      <c r="B8" s="8"/>
      <c r="C8" s="9"/>
      <c r="D8" s="10"/>
      <c r="E8" s="53"/>
      <c r="F8" s="79"/>
      <c r="G8" s="53"/>
      <c r="H8" s="11" t="s">
        <v>6</v>
      </c>
      <c r="I8" s="11" t="s">
        <v>7</v>
      </c>
      <c r="J8" s="80" t="s">
        <v>6</v>
      </c>
      <c r="K8" s="54" t="s">
        <v>7</v>
      </c>
      <c r="L8" s="66" t="str">
        <f t="shared" ref="L8:U8" si="0">J8</f>
        <v>wisnus</v>
      </c>
      <c r="M8" s="72" t="str">
        <f t="shared" si="0"/>
        <v>wisman</v>
      </c>
      <c r="N8" s="66" t="str">
        <f t="shared" si="0"/>
        <v>wisnus</v>
      </c>
      <c r="O8" s="72" t="str">
        <f t="shared" si="0"/>
        <v>wisman</v>
      </c>
      <c r="P8" s="99" t="str">
        <f t="shared" si="0"/>
        <v>wisnus</v>
      </c>
      <c r="Q8" s="103" t="str">
        <f t="shared" si="0"/>
        <v>wisman</v>
      </c>
      <c r="R8" s="99" t="str">
        <f t="shared" si="0"/>
        <v>wisnus</v>
      </c>
      <c r="S8" s="108" t="str">
        <f t="shared" si="0"/>
        <v>wisman</v>
      </c>
      <c r="T8" s="167" t="str">
        <f t="shared" si="0"/>
        <v>wisnus</v>
      </c>
      <c r="U8" s="166" t="str">
        <f t="shared" si="0"/>
        <v>wisman</v>
      </c>
    </row>
    <row r="9" spans="1:21" x14ac:dyDescent="0.3">
      <c r="A9" s="8"/>
      <c r="B9" s="12"/>
      <c r="C9" s="13"/>
      <c r="D9" s="14"/>
      <c r="E9" s="16"/>
      <c r="F9" s="12"/>
      <c r="G9" s="16"/>
      <c r="H9" s="17"/>
      <c r="I9" s="17"/>
      <c r="J9" s="81"/>
      <c r="K9" s="55"/>
      <c r="L9" s="67"/>
      <c r="M9" s="73"/>
      <c r="N9" s="67"/>
      <c r="O9" s="73"/>
      <c r="P9" s="100"/>
      <c r="Q9" s="104"/>
      <c r="R9" s="112"/>
      <c r="S9" s="107"/>
      <c r="T9" s="112"/>
      <c r="U9" s="107"/>
    </row>
    <row r="10" spans="1:21" x14ac:dyDescent="0.3">
      <c r="A10" s="18" t="s">
        <v>8</v>
      </c>
      <c r="B10" s="19"/>
      <c r="C10" s="1" t="s">
        <v>9</v>
      </c>
      <c r="D10" s="14"/>
      <c r="E10" s="16"/>
      <c r="F10" s="12"/>
      <c r="G10" s="16"/>
      <c r="H10" s="20"/>
      <c r="I10" s="20"/>
      <c r="J10" s="82"/>
      <c r="K10" s="56"/>
      <c r="L10" s="68"/>
      <c r="M10" s="74"/>
      <c r="N10" s="68"/>
      <c r="O10" s="74"/>
      <c r="P10" s="100"/>
      <c r="Q10" s="104"/>
      <c r="R10" s="112"/>
      <c r="S10" s="107"/>
      <c r="T10" s="112"/>
      <c r="U10" s="107"/>
    </row>
    <row r="11" spans="1:21" s="120" customFormat="1" x14ac:dyDescent="0.3">
      <c r="A11" s="8">
        <v>1</v>
      </c>
      <c r="B11" s="12"/>
      <c r="C11" s="13"/>
      <c r="D11" s="14" t="s">
        <v>10</v>
      </c>
      <c r="E11" s="15">
        <v>37532</v>
      </c>
      <c r="F11" s="61">
        <v>38437</v>
      </c>
      <c r="G11" s="21">
        <v>31693</v>
      </c>
      <c r="H11" s="22">
        <v>18927</v>
      </c>
      <c r="I11" s="22">
        <v>16704</v>
      </c>
      <c r="J11" s="83">
        <v>18815</v>
      </c>
      <c r="K11" s="57">
        <v>13457</v>
      </c>
      <c r="L11" s="76">
        <v>4248</v>
      </c>
      <c r="M11" s="75">
        <v>3082</v>
      </c>
      <c r="N11" s="76">
        <v>1991</v>
      </c>
      <c r="O11" s="75">
        <v>86</v>
      </c>
      <c r="P11" s="121">
        <v>11535</v>
      </c>
      <c r="Q11" s="148">
        <v>6553</v>
      </c>
      <c r="R11" s="114">
        <v>18230</v>
      </c>
      <c r="S11" s="115">
        <v>13803</v>
      </c>
      <c r="T11" s="158">
        <v>24796</v>
      </c>
      <c r="U11" s="159">
        <v>13835</v>
      </c>
    </row>
    <row r="12" spans="1:21" s="120" customFormat="1" x14ac:dyDescent="0.3">
      <c r="A12" s="8">
        <v>2</v>
      </c>
      <c r="B12" s="12"/>
      <c r="C12" s="13"/>
      <c r="D12" s="14" t="s">
        <v>11</v>
      </c>
      <c r="E12" s="15">
        <v>5265</v>
      </c>
      <c r="F12" s="61">
        <v>6194</v>
      </c>
      <c r="G12" s="15">
        <v>5229</v>
      </c>
      <c r="H12" s="22">
        <v>1798</v>
      </c>
      <c r="I12" s="22">
        <v>3324</v>
      </c>
      <c r="J12" s="83">
        <v>1108</v>
      </c>
      <c r="K12" s="57">
        <v>2476</v>
      </c>
      <c r="L12" s="76">
        <v>1345</v>
      </c>
      <c r="M12" s="75">
        <v>413</v>
      </c>
      <c r="N12" s="76">
        <v>131</v>
      </c>
      <c r="O12" s="75">
        <v>1</v>
      </c>
      <c r="P12" s="121">
        <v>845</v>
      </c>
      <c r="Q12" s="148">
        <v>707</v>
      </c>
      <c r="R12" s="114">
        <v>1984</v>
      </c>
      <c r="S12" s="115">
        <v>1848</v>
      </c>
      <c r="T12" s="158">
        <v>3816</v>
      </c>
      <c r="U12" s="159">
        <v>1466</v>
      </c>
    </row>
    <row r="13" spans="1:21" s="120" customFormat="1" x14ac:dyDescent="0.3">
      <c r="A13" s="8">
        <v>3</v>
      </c>
      <c r="B13" s="12"/>
      <c r="C13" s="13"/>
      <c r="D13" s="14" t="s">
        <v>280</v>
      </c>
      <c r="E13" s="15">
        <v>15704</v>
      </c>
      <c r="F13" s="61">
        <v>14345</v>
      </c>
      <c r="G13" s="15">
        <v>10300</v>
      </c>
      <c r="H13" s="22">
        <v>5078</v>
      </c>
      <c r="I13" s="22">
        <v>2286</v>
      </c>
      <c r="J13" s="83">
        <v>6357</v>
      </c>
      <c r="K13" s="57">
        <v>1196</v>
      </c>
      <c r="L13" s="76">
        <v>717</v>
      </c>
      <c r="M13" s="75">
        <v>93</v>
      </c>
      <c r="N13" s="76">
        <v>1903</v>
      </c>
      <c r="O13" s="75">
        <v>12</v>
      </c>
      <c r="P13" s="121">
        <v>9895</v>
      </c>
      <c r="Q13" s="148">
        <v>439</v>
      </c>
      <c r="R13" s="114">
        <v>3720</v>
      </c>
      <c r="S13" s="115">
        <v>917</v>
      </c>
      <c r="T13" s="158">
        <v>621</v>
      </c>
      <c r="U13" s="159">
        <v>212</v>
      </c>
    </row>
    <row r="14" spans="1:21" x14ac:dyDescent="0.3">
      <c r="A14" s="8">
        <v>4</v>
      </c>
      <c r="B14" s="12"/>
      <c r="C14" s="13"/>
      <c r="D14" s="14" t="s">
        <v>12</v>
      </c>
      <c r="E14" s="15">
        <v>125643</v>
      </c>
      <c r="F14" s="61">
        <v>16303</v>
      </c>
      <c r="G14" s="15">
        <v>28005</v>
      </c>
      <c r="H14" s="22">
        <v>9799</v>
      </c>
      <c r="I14" s="22">
        <v>28628</v>
      </c>
      <c r="J14" s="83">
        <v>12568</v>
      </c>
      <c r="K14" s="57">
        <v>35709</v>
      </c>
      <c r="L14" s="76">
        <v>2395</v>
      </c>
      <c r="M14" s="75">
        <v>2595</v>
      </c>
      <c r="N14" s="76">
        <v>1404</v>
      </c>
      <c r="O14" s="75">
        <v>214</v>
      </c>
      <c r="P14" s="121" t="s">
        <v>15</v>
      </c>
      <c r="Q14" s="148" t="s">
        <v>15</v>
      </c>
      <c r="R14" s="114">
        <v>0</v>
      </c>
      <c r="S14" s="115">
        <v>0</v>
      </c>
      <c r="T14" s="115">
        <v>0</v>
      </c>
      <c r="U14" s="115">
        <v>0</v>
      </c>
    </row>
    <row r="15" spans="1:21" s="120" customFormat="1" x14ac:dyDescent="0.3">
      <c r="A15" s="8">
        <v>5</v>
      </c>
      <c r="B15" s="12"/>
      <c r="C15" s="13"/>
      <c r="D15" s="14" t="s">
        <v>13</v>
      </c>
      <c r="E15" s="15">
        <v>463</v>
      </c>
      <c r="F15" s="61">
        <v>313</v>
      </c>
      <c r="G15" s="15">
        <v>211</v>
      </c>
      <c r="H15" s="22">
        <v>121</v>
      </c>
      <c r="I15" s="22">
        <v>133</v>
      </c>
      <c r="J15" s="83">
        <v>0</v>
      </c>
      <c r="K15" s="57">
        <v>0</v>
      </c>
      <c r="L15" s="76">
        <v>0</v>
      </c>
      <c r="M15" s="75">
        <v>0</v>
      </c>
      <c r="N15" s="76">
        <v>73</v>
      </c>
      <c r="O15" s="75">
        <v>0</v>
      </c>
      <c r="P15" s="121">
        <v>42</v>
      </c>
      <c r="Q15" s="148">
        <v>14</v>
      </c>
      <c r="R15" s="114">
        <v>8</v>
      </c>
      <c r="S15" s="115">
        <v>6</v>
      </c>
      <c r="T15" s="158">
        <v>69</v>
      </c>
      <c r="U15" s="159">
        <v>10</v>
      </c>
    </row>
    <row r="16" spans="1:21" s="120" customFormat="1" x14ac:dyDescent="0.3">
      <c r="A16" s="8">
        <v>6</v>
      </c>
      <c r="B16" s="12"/>
      <c r="C16" s="13"/>
      <c r="D16" s="14" t="s">
        <v>279</v>
      </c>
      <c r="E16" s="15">
        <v>13592</v>
      </c>
      <c r="F16" s="63">
        <v>11123</v>
      </c>
      <c r="G16" s="23">
        <v>10464</v>
      </c>
      <c r="H16" s="24">
        <v>0</v>
      </c>
      <c r="I16" s="24">
        <v>7856</v>
      </c>
      <c r="J16" s="84">
        <v>0</v>
      </c>
      <c r="K16" s="58">
        <v>6035</v>
      </c>
      <c r="L16" s="76">
        <v>0</v>
      </c>
      <c r="M16" s="75">
        <v>1319</v>
      </c>
      <c r="N16" s="76">
        <v>0</v>
      </c>
      <c r="O16" s="75">
        <v>0</v>
      </c>
      <c r="P16" s="121">
        <v>0</v>
      </c>
      <c r="Q16" s="148">
        <v>576</v>
      </c>
      <c r="R16" s="114">
        <v>4775</v>
      </c>
      <c r="S16" s="115">
        <v>2478</v>
      </c>
      <c r="T16" s="158">
        <v>10162</v>
      </c>
      <c r="U16" s="159">
        <v>7670</v>
      </c>
    </row>
    <row r="17" spans="1:21" s="120" customFormat="1" x14ac:dyDescent="0.3">
      <c r="A17" s="8">
        <v>7</v>
      </c>
      <c r="B17" s="12"/>
      <c r="C17" s="13"/>
      <c r="D17" s="14" t="s">
        <v>14</v>
      </c>
      <c r="E17" s="15">
        <v>20533</v>
      </c>
      <c r="F17" s="61">
        <v>4114</v>
      </c>
      <c r="G17" s="25">
        <v>0</v>
      </c>
      <c r="H17" s="26">
        <v>0</v>
      </c>
      <c r="I17" s="26">
        <v>0</v>
      </c>
      <c r="J17" s="85">
        <v>0</v>
      </c>
      <c r="K17" s="59">
        <v>9836</v>
      </c>
      <c r="L17" s="76">
        <v>0</v>
      </c>
      <c r="M17" s="75">
        <v>2660</v>
      </c>
      <c r="N17" s="76">
        <v>0</v>
      </c>
      <c r="O17" s="75">
        <v>0</v>
      </c>
      <c r="P17" s="121">
        <v>157</v>
      </c>
      <c r="Q17" s="148">
        <v>6769</v>
      </c>
      <c r="R17" s="114">
        <v>18737</v>
      </c>
      <c r="S17" s="115">
        <v>13924</v>
      </c>
      <c r="T17" s="158">
        <v>19705</v>
      </c>
      <c r="U17" s="159">
        <v>15058</v>
      </c>
    </row>
    <row r="18" spans="1:21" s="120" customFormat="1" x14ac:dyDescent="0.3">
      <c r="A18" s="8">
        <v>8</v>
      </c>
      <c r="B18" s="12"/>
      <c r="C18" s="13"/>
      <c r="D18" s="14" t="s">
        <v>16</v>
      </c>
      <c r="E18" s="15">
        <v>6937</v>
      </c>
      <c r="F18" s="61">
        <v>425</v>
      </c>
      <c r="G18" s="15">
        <v>429</v>
      </c>
      <c r="H18" s="22">
        <v>696</v>
      </c>
      <c r="I18" s="22">
        <v>153</v>
      </c>
      <c r="J18" s="83">
        <v>705</v>
      </c>
      <c r="K18" s="57">
        <v>80</v>
      </c>
      <c r="L18" s="76">
        <v>147</v>
      </c>
      <c r="M18" s="75">
        <v>14</v>
      </c>
      <c r="N18" s="76">
        <v>223</v>
      </c>
      <c r="O18" s="75">
        <v>23</v>
      </c>
      <c r="P18" s="121">
        <v>199</v>
      </c>
      <c r="Q18" s="148">
        <v>5</v>
      </c>
      <c r="R18" s="114">
        <v>325</v>
      </c>
      <c r="S18" s="115">
        <v>10</v>
      </c>
      <c r="T18" s="158">
        <v>204</v>
      </c>
      <c r="U18" s="159">
        <v>19</v>
      </c>
    </row>
    <row r="19" spans="1:21" s="120" customFormat="1" x14ac:dyDescent="0.3">
      <c r="A19" s="8">
        <v>9</v>
      </c>
      <c r="B19" s="12"/>
      <c r="C19" s="13"/>
      <c r="D19" s="14" t="s">
        <v>17</v>
      </c>
      <c r="E19" s="15">
        <v>135920</v>
      </c>
      <c r="F19" s="61">
        <v>251438</v>
      </c>
      <c r="G19" s="15">
        <v>237251</v>
      </c>
      <c r="H19" s="22">
        <v>170410</v>
      </c>
      <c r="I19" s="22">
        <v>50529</v>
      </c>
      <c r="J19" s="83">
        <v>159322</v>
      </c>
      <c r="K19" s="57">
        <v>33787</v>
      </c>
      <c r="L19" s="76">
        <v>37443</v>
      </c>
      <c r="M19" s="75">
        <v>4736</v>
      </c>
      <c r="N19" s="76">
        <v>6325</v>
      </c>
      <c r="O19" s="75">
        <v>198</v>
      </c>
      <c r="P19" s="121">
        <v>98482</v>
      </c>
      <c r="Q19" s="148">
        <v>7222</v>
      </c>
      <c r="R19" s="114">
        <v>101998</v>
      </c>
      <c r="S19" s="115">
        <v>15404</v>
      </c>
      <c r="T19" s="158">
        <v>184783</v>
      </c>
      <c r="U19" s="159">
        <v>12096</v>
      </c>
    </row>
    <row r="20" spans="1:21" s="120" customFormat="1" x14ac:dyDescent="0.3">
      <c r="A20" s="8">
        <v>10</v>
      </c>
      <c r="B20" s="12"/>
      <c r="C20" s="13"/>
      <c r="D20" s="14" t="s">
        <v>18</v>
      </c>
      <c r="E20" s="15">
        <v>17088</v>
      </c>
      <c r="F20" s="61">
        <v>17064</v>
      </c>
      <c r="G20" s="15">
        <v>22642</v>
      </c>
      <c r="H20" s="22">
        <v>17449</v>
      </c>
      <c r="I20" s="22">
        <v>21</v>
      </c>
      <c r="J20" s="83">
        <v>12278</v>
      </c>
      <c r="K20" s="57">
        <v>48</v>
      </c>
      <c r="L20" s="76">
        <v>831</v>
      </c>
      <c r="M20" s="75">
        <v>1946</v>
      </c>
      <c r="N20" s="76">
        <v>0</v>
      </c>
      <c r="O20" s="75">
        <v>0</v>
      </c>
      <c r="P20" s="121">
        <v>0</v>
      </c>
      <c r="Q20" s="148">
        <v>0</v>
      </c>
      <c r="R20" s="114">
        <v>0</v>
      </c>
      <c r="S20" s="115">
        <v>0</v>
      </c>
      <c r="T20" s="115">
        <v>0</v>
      </c>
      <c r="U20" s="115">
        <v>0</v>
      </c>
    </row>
    <row r="21" spans="1:21" s="120" customFormat="1" x14ac:dyDescent="0.3">
      <c r="A21" s="8">
        <v>11</v>
      </c>
      <c r="B21" s="12"/>
      <c r="C21" s="13"/>
      <c r="D21" s="14" t="s">
        <v>19</v>
      </c>
      <c r="E21" s="23">
        <v>74311</v>
      </c>
      <c r="F21" s="63">
        <v>78170</v>
      </c>
      <c r="G21" s="23">
        <v>223572</v>
      </c>
      <c r="H21" s="24">
        <v>58781</v>
      </c>
      <c r="I21" s="24">
        <v>7489</v>
      </c>
      <c r="J21" s="84">
        <v>67884</v>
      </c>
      <c r="K21" s="58">
        <v>1511</v>
      </c>
      <c r="L21" s="76">
        <v>4027</v>
      </c>
      <c r="M21" s="75">
        <v>95</v>
      </c>
      <c r="N21" s="76">
        <v>4770</v>
      </c>
      <c r="O21" s="75">
        <v>0</v>
      </c>
      <c r="P21" s="121">
        <v>107013</v>
      </c>
      <c r="Q21" s="148">
        <v>0</v>
      </c>
      <c r="R21" s="114">
        <v>0</v>
      </c>
      <c r="S21" s="115">
        <v>0</v>
      </c>
      <c r="T21" s="115">
        <v>0</v>
      </c>
      <c r="U21" s="115">
        <v>0</v>
      </c>
    </row>
    <row r="22" spans="1:21" s="120" customFormat="1" x14ac:dyDescent="0.3">
      <c r="A22" s="8">
        <v>12</v>
      </c>
      <c r="B22" s="12"/>
      <c r="C22" s="13"/>
      <c r="D22" s="14" t="s">
        <v>20</v>
      </c>
      <c r="E22" s="23">
        <v>2973</v>
      </c>
      <c r="F22" s="63">
        <v>2276</v>
      </c>
      <c r="G22" s="23">
        <v>440</v>
      </c>
      <c r="H22" s="24">
        <v>1835</v>
      </c>
      <c r="I22" s="24">
        <v>507</v>
      </c>
      <c r="J22" s="84">
        <v>0</v>
      </c>
      <c r="K22" s="58">
        <v>0</v>
      </c>
      <c r="L22" s="76">
        <v>0</v>
      </c>
      <c r="M22" s="75">
        <v>0</v>
      </c>
      <c r="N22" s="76">
        <v>0</v>
      </c>
      <c r="O22" s="75">
        <v>0</v>
      </c>
      <c r="P22" s="121">
        <v>0</v>
      </c>
      <c r="Q22" s="148">
        <v>0</v>
      </c>
      <c r="R22" s="114">
        <v>0</v>
      </c>
      <c r="S22" s="115">
        <v>0</v>
      </c>
      <c r="T22" s="115">
        <v>0</v>
      </c>
      <c r="U22" s="115">
        <v>0</v>
      </c>
    </row>
    <row r="23" spans="1:21" s="120" customFormat="1" x14ac:dyDescent="0.3">
      <c r="A23" s="8">
        <v>13</v>
      </c>
      <c r="B23" s="12"/>
      <c r="C23" s="13"/>
      <c r="D23" s="14" t="s">
        <v>21</v>
      </c>
      <c r="E23" s="23" t="s">
        <v>15</v>
      </c>
      <c r="F23" s="62" t="s">
        <v>15</v>
      </c>
      <c r="G23" s="25" t="s">
        <v>15</v>
      </c>
      <c r="H23" s="26" t="s">
        <v>15</v>
      </c>
      <c r="I23" s="26" t="s">
        <v>15</v>
      </c>
      <c r="J23" s="85" t="s">
        <v>15</v>
      </c>
      <c r="K23" s="59" t="s">
        <v>15</v>
      </c>
      <c r="L23" s="76">
        <v>0</v>
      </c>
      <c r="M23" s="75">
        <v>0</v>
      </c>
      <c r="N23" s="76">
        <v>68</v>
      </c>
      <c r="O23" s="75">
        <v>5</v>
      </c>
      <c r="P23" s="121">
        <v>235</v>
      </c>
      <c r="Q23" s="148">
        <v>93</v>
      </c>
      <c r="R23" s="114">
        <v>154</v>
      </c>
      <c r="S23" s="115">
        <v>1402</v>
      </c>
      <c r="T23" s="158">
        <v>108</v>
      </c>
      <c r="U23" s="159">
        <v>509</v>
      </c>
    </row>
    <row r="24" spans="1:21" x14ac:dyDescent="0.3">
      <c r="A24" s="8">
        <v>14</v>
      </c>
      <c r="B24" s="12"/>
      <c r="C24" s="13"/>
      <c r="D24" s="14" t="s">
        <v>22</v>
      </c>
      <c r="E24" s="23" t="s">
        <v>15</v>
      </c>
      <c r="F24" s="62" t="s">
        <v>15</v>
      </c>
      <c r="G24" s="25" t="s">
        <v>15</v>
      </c>
      <c r="H24" s="26">
        <v>862623</v>
      </c>
      <c r="I24" s="26">
        <v>22164</v>
      </c>
      <c r="J24" s="85">
        <v>490</v>
      </c>
      <c r="K24" s="59">
        <v>0</v>
      </c>
      <c r="L24" s="76">
        <v>0</v>
      </c>
      <c r="M24" s="75">
        <v>0</v>
      </c>
      <c r="N24" s="76">
        <v>0</v>
      </c>
      <c r="O24" s="75">
        <v>0</v>
      </c>
      <c r="P24" s="121" t="s">
        <v>15</v>
      </c>
      <c r="Q24" s="148" t="s">
        <v>15</v>
      </c>
      <c r="R24" s="114">
        <v>0</v>
      </c>
      <c r="S24" s="115">
        <v>0</v>
      </c>
      <c r="T24" s="115">
        <v>0</v>
      </c>
      <c r="U24" s="115">
        <v>0</v>
      </c>
    </row>
    <row r="25" spans="1:21" x14ac:dyDescent="0.3">
      <c r="A25" s="8">
        <v>15</v>
      </c>
      <c r="B25" s="12"/>
      <c r="C25" s="13"/>
      <c r="D25" s="14" t="s">
        <v>23</v>
      </c>
      <c r="E25" s="23" t="s">
        <v>15</v>
      </c>
      <c r="F25" s="62" t="s">
        <v>15</v>
      </c>
      <c r="G25" s="25" t="s">
        <v>15</v>
      </c>
      <c r="H25" s="26">
        <v>724693</v>
      </c>
      <c r="I25" s="26">
        <v>3910</v>
      </c>
      <c r="J25" s="85">
        <v>529060</v>
      </c>
      <c r="K25" s="59">
        <v>1205128</v>
      </c>
      <c r="L25" s="76">
        <v>0</v>
      </c>
      <c r="M25" s="75">
        <v>0</v>
      </c>
      <c r="N25" s="76">
        <v>0</v>
      </c>
      <c r="O25" s="75">
        <v>0</v>
      </c>
      <c r="P25" s="121" t="s">
        <v>15</v>
      </c>
      <c r="Q25" s="148" t="s">
        <v>15</v>
      </c>
      <c r="R25" s="114">
        <v>0</v>
      </c>
      <c r="S25" s="115">
        <v>0</v>
      </c>
      <c r="T25" s="115">
        <v>0</v>
      </c>
      <c r="U25" s="115">
        <v>0</v>
      </c>
    </row>
    <row r="26" spans="1:21" x14ac:dyDescent="0.3">
      <c r="A26" s="8">
        <v>16</v>
      </c>
      <c r="B26" s="12"/>
      <c r="C26" s="13"/>
      <c r="D26" s="14" t="s">
        <v>24</v>
      </c>
      <c r="E26" s="23" t="s">
        <v>15</v>
      </c>
      <c r="F26" s="62" t="s">
        <v>15</v>
      </c>
      <c r="G26" s="25" t="s">
        <v>15</v>
      </c>
      <c r="H26" s="77">
        <v>8200</v>
      </c>
      <c r="I26" s="77">
        <v>57151</v>
      </c>
      <c r="J26" s="86">
        <v>3582</v>
      </c>
      <c r="K26" s="78">
        <v>44760</v>
      </c>
      <c r="L26" s="76">
        <v>375</v>
      </c>
      <c r="M26" s="75">
        <v>6300</v>
      </c>
      <c r="N26" s="76">
        <v>28</v>
      </c>
      <c r="O26" s="75">
        <v>0</v>
      </c>
      <c r="P26" s="121" t="s">
        <v>15</v>
      </c>
      <c r="Q26" s="148" t="s">
        <v>15</v>
      </c>
      <c r="R26" s="114">
        <v>0</v>
      </c>
      <c r="S26" s="115">
        <v>0</v>
      </c>
      <c r="T26" s="115">
        <v>0</v>
      </c>
      <c r="U26" s="115">
        <v>0</v>
      </c>
    </row>
    <row r="27" spans="1:21" s="120" customFormat="1" x14ac:dyDescent="0.3">
      <c r="A27" s="8">
        <v>17</v>
      </c>
      <c r="B27" s="12"/>
      <c r="C27" s="13"/>
      <c r="D27" s="14" t="s">
        <v>200</v>
      </c>
      <c r="E27" s="23" t="s">
        <v>15</v>
      </c>
      <c r="F27" s="23" t="s">
        <v>15</v>
      </c>
      <c r="G27" s="23" t="s">
        <v>15</v>
      </c>
      <c r="H27" s="23" t="s">
        <v>15</v>
      </c>
      <c r="I27" s="23" t="s">
        <v>15</v>
      </c>
      <c r="J27" s="23" t="s">
        <v>15</v>
      </c>
      <c r="K27" s="23" t="s">
        <v>15</v>
      </c>
      <c r="L27" s="93">
        <v>0</v>
      </c>
      <c r="M27" s="93">
        <v>0</v>
      </c>
      <c r="N27" s="92">
        <v>20</v>
      </c>
      <c r="O27" s="93">
        <v>2</v>
      </c>
      <c r="P27" s="121">
        <v>155</v>
      </c>
      <c r="Q27" s="148">
        <v>0</v>
      </c>
      <c r="R27" s="114">
        <v>105</v>
      </c>
      <c r="S27" s="115">
        <v>0</v>
      </c>
      <c r="T27" s="115">
        <v>0</v>
      </c>
      <c r="U27" s="115">
        <v>0</v>
      </c>
    </row>
    <row r="28" spans="1:21" s="120" customFormat="1" ht="14.25" customHeight="1" x14ac:dyDescent="0.3">
      <c r="A28" s="8">
        <v>18</v>
      </c>
      <c r="B28" s="12"/>
      <c r="C28" s="13"/>
      <c r="D28" s="14" t="s">
        <v>208</v>
      </c>
      <c r="E28" s="23" t="s">
        <v>15</v>
      </c>
      <c r="F28" s="23" t="s">
        <v>15</v>
      </c>
      <c r="G28" s="23" t="s">
        <v>15</v>
      </c>
      <c r="H28" s="23" t="s">
        <v>15</v>
      </c>
      <c r="I28" s="23" t="s">
        <v>15</v>
      </c>
      <c r="J28" s="23" t="s">
        <v>15</v>
      </c>
      <c r="K28" s="23" t="s">
        <v>15</v>
      </c>
      <c r="L28" s="93"/>
      <c r="M28" s="93">
        <v>0</v>
      </c>
      <c r="N28" s="93">
        <v>61991</v>
      </c>
      <c r="O28" s="93">
        <v>949</v>
      </c>
      <c r="P28" s="121">
        <v>60922</v>
      </c>
      <c r="Q28" s="148">
        <v>4655</v>
      </c>
      <c r="R28" s="114">
        <v>19196</v>
      </c>
      <c r="S28" s="115">
        <v>663</v>
      </c>
      <c r="T28" s="158">
        <v>11353</v>
      </c>
      <c r="U28" s="159">
        <v>4155</v>
      </c>
    </row>
    <row r="29" spans="1:21" s="120" customFormat="1" x14ac:dyDescent="0.3">
      <c r="A29" s="8">
        <v>19</v>
      </c>
      <c r="B29" s="12"/>
      <c r="C29" s="13"/>
      <c r="D29" s="14" t="s">
        <v>201</v>
      </c>
      <c r="E29" s="23" t="s">
        <v>15</v>
      </c>
      <c r="F29" s="23" t="s">
        <v>15</v>
      </c>
      <c r="G29" s="23" t="s">
        <v>15</v>
      </c>
      <c r="H29" s="23" t="s">
        <v>15</v>
      </c>
      <c r="I29" s="23" t="s">
        <v>15</v>
      </c>
      <c r="J29" s="23" t="s">
        <v>15</v>
      </c>
      <c r="K29" s="23" t="s">
        <v>15</v>
      </c>
      <c r="L29" s="93">
        <v>0</v>
      </c>
      <c r="M29" s="93">
        <v>0</v>
      </c>
      <c r="N29" s="93">
        <v>201967</v>
      </c>
      <c r="O29" s="93">
        <v>7189</v>
      </c>
      <c r="P29" s="121">
        <v>446469</v>
      </c>
      <c r="Q29" s="148">
        <v>96553</v>
      </c>
      <c r="R29" s="114">
        <v>126705</v>
      </c>
      <c r="S29" s="115">
        <v>12071</v>
      </c>
      <c r="T29" s="158">
        <v>664903</v>
      </c>
      <c r="U29" s="159">
        <v>18519</v>
      </c>
    </row>
    <row r="30" spans="1:21" s="120" customFormat="1" x14ac:dyDescent="0.3">
      <c r="A30" s="8">
        <v>20</v>
      </c>
      <c r="B30" s="12"/>
      <c r="C30" s="13"/>
      <c r="D30" s="14" t="s">
        <v>202</v>
      </c>
      <c r="E30" s="23" t="s">
        <v>15</v>
      </c>
      <c r="F30" s="23" t="s">
        <v>15</v>
      </c>
      <c r="G30" s="23" t="s">
        <v>15</v>
      </c>
      <c r="H30" s="23" t="s">
        <v>15</v>
      </c>
      <c r="I30" s="23" t="s">
        <v>15</v>
      </c>
      <c r="J30" s="23" t="s">
        <v>15</v>
      </c>
      <c r="K30" s="23" t="s">
        <v>15</v>
      </c>
      <c r="L30" s="93">
        <v>0</v>
      </c>
      <c r="M30" s="93">
        <v>0</v>
      </c>
      <c r="N30" s="93">
        <v>12732</v>
      </c>
      <c r="O30" s="93">
        <v>542</v>
      </c>
      <c r="P30" s="121">
        <v>26543</v>
      </c>
      <c r="Q30" s="148">
        <v>1780</v>
      </c>
      <c r="R30" s="114">
        <v>49803</v>
      </c>
      <c r="S30" s="115">
        <v>6860</v>
      </c>
      <c r="T30" s="158">
        <v>59712</v>
      </c>
      <c r="U30" s="159">
        <v>8815</v>
      </c>
    </row>
    <row r="31" spans="1:21" s="120" customFormat="1" x14ac:dyDescent="0.3">
      <c r="A31" s="8">
        <v>21</v>
      </c>
      <c r="B31" s="12"/>
      <c r="C31" s="13"/>
      <c r="D31" s="14" t="s">
        <v>203</v>
      </c>
      <c r="E31" s="23" t="s">
        <v>15</v>
      </c>
      <c r="F31" s="23" t="s">
        <v>15</v>
      </c>
      <c r="G31" s="23" t="s">
        <v>15</v>
      </c>
      <c r="H31" s="23" t="s">
        <v>15</v>
      </c>
      <c r="I31" s="23" t="s">
        <v>15</v>
      </c>
      <c r="J31" s="23" t="s">
        <v>15</v>
      </c>
      <c r="K31" s="23" t="s">
        <v>15</v>
      </c>
      <c r="L31" s="93">
        <v>0</v>
      </c>
      <c r="M31" s="93">
        <v>0</v>
      </c>
      <c r="N31" s="93">
        <v>11855</v>
      </c>
      <c r="O31" s="93">
        <v>513</v>
      </c>
      <c r="P31" s="121">
        <v>27877</v>
      </c>
      <c r="Q31" s="148">
        <v>1585</v>
      </c>
      <c r="R31" s="114">
        <v>49454</v>
      </c>
      <c r="S31" s="115">
        <v>5912</v>
      </c>
      <c r="T31" s="158">
        <v>57999</v>
      </c>
      <c r="U31" s="159">
        <v>7764</v>
      </c>
    </row>
    <row r="32" spans="1:21" s="120" customFormat="1" ht="16.5" customHeight="1" x14ac:dyDescent="0.3">
      <c r="A32" s="8">
        <v>22</v>
      </c>
      <c r="B32" s="12"/>
      <c r="C32" s="13"/>
      <c r="D32" s="14" t="s">
        <v>209</v>
      </c>
      <c r="E32" s="23" t="s">
        <v>15</v>
      </c>
      <c r="F32" s="23" t="s">
        <v>15</v>
      </c>
      <c r="G32" s="23" t="s">
        <v>15</v>
      </c>
      <c r="H32" s="23" t="s">
        <v>15</v>
      </c>
      <c r="I32" s="23" t="s">
        <v>15</v>
      </c>
      <c r="J32" s="23" t="s">
        <v>15</v>
      </c>
      <c r="K32" s="23" t="s">
        <v>15</v>
      </c>
      <c r="L32" s="93">
        <v>0</v>
      </c>
      <c r="M32" s="93">
        <v>0</v>
      </c>
      <c r="N32" s="93">
        <v>3068</v>
      </c>
      <c r="O32" s="93">
        <v>99</v>
      </c>
      <c r="P32" s="121">
        <v>8744</v>
      </c>
      <c r="Q32" s="148">
        <v>1098</v>
      </c>
      <c r="R32" s="114">
        <v>23057</v>
      </c>
      <c r="S32" s="115">
        <v>5833</v>
      </c>
      <c r="T32" s="158">
        <v>30981</v>
      </c>
      <c r="U32" s="159">
        <v>8220</v>
      </c>
    </row>
    <row r="33" spans="1:21" s="120" customFormat="1" x14ac:dyDescent="0.3">
      <c r="A33" s="8">
        <v>23</v>
      </c>
      <c r="B33" s="12"/>
      <c r="C33" s="13"/>
      <c r="D33" s="14" t="s">
        <v>210</v>
      </c>
      <c r="E33" s="23" t="s">
        <v>15</v>
      </c>
      <c r="F33" s="23" t="s">
        <v>15</v>
      </c>
      <c r="G33" s="23" t="s">
        <v>15</v>
      </c>
      <c r="H33" s="23" t="s">
        <v>15</v>
      </c>
      <c r="I33" s="23" t="s">
        <v>15</v>
      </c>
      <c r="J33" s="23" t="s">
        <v>15</v>
      </c>
      <c r="K33" s="23" t="s">
        <v>15</v>
      </c>
      <c r="L33" s="93"/>
      <c r="M33" s="93"/>
      <c r="N33" s="93">
        <v>21542</v>
      </c>
      <c r="O33" s="93">
        <v>757</v>
      </c>
      <c r="P33" s="121">
        <v>45958</v>
      </c>
      <c r="Q33" s="149">
        <v>2865</v>
      </c>
      <c r="R33" s="114">
        <v>83572</v>
      </c>
      <c r="S33" s="115">
        <v>9168</v>
      </c>
      <c r="T33" s="158">
        <v>100141</v>
      </c>
      <c r="U33" s="159">
        <v>11065</v>
      </c>
    </row>
    <row r="34" spans="1:21" x14ac:dyDescent="0.3">
      <c r="A34" s="8">
        <v>24</v>
      </c>
      <c r="B34" s="12"/>
      <c r="C34" s="13"/>
      <c r="D34" s="14" t="s">
        <v>204</v>
      </c>
      <c r="E34" s="23" t="s">
        <v>15</v>
      </c>
      <c r="F34" s="23" t="s">
        <v>15</v>
      </c>
      <c r="G34" s="23" t="s">
        <v>15</v>
      </c>
      <c r="H34" s="23" t="s">
        <v>15</v>
      </c>
      <c r="I34" s="23" t="s">
        <v>15</v>
      </c>
      <c r="J34" s="23" t="s">
        <v>15</v>
      </c>
      <c r="K34" s="23" t="s">
        <v>15</v>
      </c>
      <c r="L34" s="93">
        <v>0</v>
      </c>
      <c r="M34" s="93">
        <v>0</v>
      </c>
      <c r="N34" s="93">
        <v>33362</v>
      </c>
      <c r="O34" s="93">
        <v>1506</v>
      </c>
      <c r="P34" s="121" t="s">
        <v>15</v>
      </c>
      <c r="Q34" s="148" t="s">
        <v>15</v>
      </c>
      <c r="R34" s="114">
        <v>0</v>
      </c>
      <c r="S34" s="115">
        <v>0</v>
      </c>
      <c r="T34" s="115">
        <v>0</v>
      </c>
      <c r="U34" s="115">
        <v>0</v>
      </c>
    </row>
    <row r="35" spans="1:21" s="120" customFormat="1" x14ac:dyDescent="0.3">
      <c r="A35" s="8">
        <v>25</v>
      </c>
      <c r="B35" s="12"/>
      <c r="C35" s="13"/>
      <c r="D35" s="14" t="s">
        <v>205</v>
      </c>
      <c r="E35" s="23" t="s">
        <v>15</v>
      </c>
      <c r="F35" s="23" t="s">
        <v>15</v>
      </c>
      <c r="G35" s="23" t="s">
        <v>15</v>
      </c>
      <c r="H35" s="23" t="s">
        <v>15</v>
      </c>
      <c r="I35" s="23" t="s">
        <v>15</v>
      </c>
      <c r="J35" s="23" t="s">
        <v>15</v>
      </c>
      <c r="K35" s="23" t="s">
        <v>15</v>
      </c>
      <c r="L35" s="93">
        <v>0</v>
      </c>
      <c r="M35" s="93">
        <v>0</v>
      </c>
      <c r="N35" s="92">
        <v>0</v>
      </c>
      <c r="O35" s="92">
        <v>0</v>
      </c>
      <c r="P35" s="150">
        <v>89377</v>
      </c>
      <c r="Q35" s="148">
        <v>2465</v>
      </c>
      <c r="R35" s="114">
        <v>113728</v>
      </c>
      <c r="S35" s="115">
        <v>7646</v>
      </c>
      <c r="T35" s="158">
        <v>140618</v>
      </c>
      <c r="U35" s="159">
        <v>10598</v>
      </c>
    </row>
    <row r="36" spans="1:21" s="120" customFormat="1" x14ac:dyDescent="0.3">
      <c r="A36" s="8">
        <v>26</v>
      </c>
      <c r="B36" s="12"/>
      <c r="C36" s="13"/>
      <c r="D36" s="14" t="s">
        <v>206</v>
      </c>
      <c r="E36" s="23" t="s">
        <v>15</v>
      </c>
      <c r="F36" s="23" t="s">
        <v>15</v>
      </c>
      <c r="G36" s="23" t="s">
        <v>15</v>
      </c>
      <c r="H36" s="23" t="s">
        <v>15</v>
      </c>
      <c r="I36" s="23" t="s">
        <v>15</v>
      </c>
      <c r="J36" s="23" t="s">
        <v>15</v>
      </c>
      <c r="K36" s="23" t="s">
        <v>15</v>
      </c>
      <c r="L36" s="93">
        <v>0</v>
      </c>
      <c r="M36" s="93">
        <v>0</v>
      </c>
      <c r="N36" s="92">
        <v>34662</v>
      </c>
      <c r="O36" s="92">
        <v>1751</v>
      </c>
      <c r="P36" s="121">
        <v>86225</v>
      </c>
      <c r="Q36" s="148">
        <v>3074</v>
      </c>
      <c r="R36" s="114">
        <v>115367</v>
      </c>
      <c r="S36" s="115">
        <v>8475</v>
      </c>
      <c r="T36" s="158">
        <v>159617</v>
      </c>
      <c r="U36" s="159">
        <v>10968</v>
      </c>
    </row>
    <row r="37" spans="1:21" s="120" customFormat="1" x14ac:dyDescent="0.3">
      <c r="A37" s="8">
        <v>27</v>
      </c>
      <c r="B37" s="12"/>
      <c r="C37" s="13"/>
      <c r="D37" s="14" t="s">
        <v>207</v>
      </c>
      <c r="E37" s="23" t="s">
        <v>15</v>
      </c>
      <c r="F37" s="23" t="s">
        <v>15</v>
      </c>
      <c r="G37" s="23" t="s">
        <v>15</v>
      </c>
      <c r="H37" s="23" t="s">
        <v>15</v>
      </c>
      <c r="I37" s="23" t="s">
        <v>15</v>
      </c>
      <c r="J37" s="23" t="s">
        <v>15</v>
      </c>
      <c r="K37" s="23" t="s">
        <v>15</v>
      </c>
      <c r="L37" s="92">
        <v>0</v>
      </c>
      <c r="M37" s="92">
        <v>0</v>
      </c>
      <c r="N37" s="92">
        <v>20860</v>
      </c>
      <c r="O37" s="92">
        <v>634</v>
      </c>
      <c r="P37" s="121">
        <v>53000</v>
      </c>
      <c r="Q37" s="148">
        <v>2163</v>
      </c>
      <c r="R37" s="114">
        <v>68174</v>
      </c>
      <c r="S37" s="115">
        <v>7903</v>
      </c>
      <c r="T37" s="158">
        <v>49569</v>
      </c>
      <c r="U37" s="159">
        <v>9790</v>
      </c>
    </row>
    <row r="38" spans="1:21" s="120" customFormat="1" x14ac:dyDescent="0.3">
      <c r="A38" s="8">
        <v>28</v>
      </c>
      <c r="B38" s="12"/>
      <c r="C38" s="13"/>
      <c r="D38" s="14" t="s">
        <v>237</v>
      </c>
      <c r="E38" s="129">
        <v>0</v>
      </c>
      <c r="F38" s="129">
        <v>0</v>
      </c>
      <c r="G38" s="129">
        <v>0</v>
      </c>
      <c r="H38" s="129">
        <v>0</v>
      </c>
      <c r="I38" s="129">
        <v>0</v>
      </c>
      <c r="J38" s="129">
        <v>0</v>
      </c>
      <c r="K38" s="129">
        <v>0</v>
      </c>
      <c r="L38" s="129">
        <v>0</v>
      </c>
      <c r="M38" s="92">
        <v>0</v>
      </c>
      <c r="N38" s="92">
        <v>0</v>
      </c>
      <c r="O38" s="92">
        <v>0</v>
      </c>
      <c r="P38" s="150">
        <v>30296</v>
      </c>
      <c r="Q38" s="148">
        <v>24</v>
      </c>
      <c r="R38" s="114">
        <v>0</v>
      </c>
      <c r="S38" s="115">
        <v>0</v>
      </c>
      <c r="T38" s="158">
        <v>28608</v>
      </c>
      <c r="U38" s="159">
        <v>27</v>
      </c>
    </row>
    <row r="39" spans="1:21" s="120" customFormat="1" x14ac:dyDescent="0.3">
      <c r="A39" s="8">
        <v>29</v>
      </c>
      <c r="B39" s="12"/>
      <c r="C39" s="13"/>
      <c r="D39" s="14" t="s">
        <v>238</v>
      </c>
      <c r="E39" s="129">
        <v>0</v>
      </c>
      <c r="F39" s="129">
        <v>0</v>
      </c>
      <c r="G39" s="129">
        <v>0</v>
      </c>
      <c r="H39" s="129">
        <v>0</v>
      </c>
      <c r="I39" s="129">
        <v>0</v>
      </c>
      <c r="J39" s="129">
        <v>0</v>
      </c>
      <c r="K39" s="129">
        <v>0</v>
      </c>
      <c r="L39" s="129">
        <v>0</v>
      </c>
      <c r="M39" s="92">
        <v>0</v>
      </c>
      <c r="N39" s="92">
        <v>0</v>
      </c>
      <c r="O39" s="92">
        <v>0</v>
      </c>
      <c r="P39" s="150">
        <v>7177</v>
      </c>
      <c r="Q39" s="148">
        <v>36</v>
      </c>
      <c r="R39" s="114">
        <v>8732</v>
      </c>
      <c r="S39" s="115">
        <v>22</v>
      </c>
      <c r="T39" s="158">
        <v>14392</v>
      </c>
      <c r="U39" s="159">
        <v>2</v>
      </c>
    </row>
    <row r="40" spans="1:21" s="120" customFormat="1" ht="14.25" customHeight="1" x14ac:dyDescent="0.3">
      <c r="A40" s="8">
        <v>30</v>
      </c>
      <c r="B40" s="12"/>
      <c r="C40" s="13"/>
      <c r="D40" s="14" t="s">
        <v>239</v>
      </c>
      <c r="E40" s="129">
        <v>0</v>
      </c>
      <c r="F40" s="129">
        <v>0</v>
      </c>
      <c r="G40" s="129">
        <v>0</v>
      </c>
      <c r="H40" s="129">
        <v>0</v>
      </c>
      <c r="I40" s="129">
        <v>0</v>
      </c>
      <c r="J40" s="129">
        <v>0</v>
      </c>
      <c r="K40" s="129">
        <v>0</v>
      </c>
      <c r="L40" s="129">
        <v>0</v>
      </c>
      <c r="M40" s="92">
        <v>0</v>
      </c>
      <c r="N40" s="92">
        <v>0</v>
      </c>
      <c r="O40" s="92">
        <v>0</v>
      </c>
      <c r="P40" s="150">
        <v>0</v>
      </c>
      <c r="Q40" s="148">
        <v>0</v>
      </c>
      <c r="R40" s="114">
        <v>13875</v>
      </c>
      <c r="S40" s="115">
        <v>45702</v>
      </c>
      <c r="T40" s="158">
        <v>18667</v>
      </c>
      <c r="U40" s="159">
        <v>43781</v>
      </c>
    </row>
    <row r="41" spans="1:21" s="120" customFormat="1" x14ac:dyDescent="0.3">
      <c r="A41" s="8">
        <v>31</v>
      </c>
      <c r="B41" s="12"/>
      <c r="C41" s="13"/>
      <c r="D41" s="14" t="s">
        <v>240</v>
      </c>
      <c r="E41" s="129">
        <v>0</v>
      </c>
      <c r="F41" s="129">
        <v>0</v>
      </c>
      <c r="G41" s="129">
        <v>0</v>
      </c>
      <c r="H41" s="129">
        <v>0</v>
      </c>
      <c r="I41" s="129">
        <v>0</v>
      </c>
      <c r="J41" s="129">
        <v>0</v>
      </c>
      <c r="K41" s="129">
        <v>0</v>
      </c>
      <c r="L41" s="129">
        <v>0</v>
      </c>
      <c r="M41" s="92">
        <v>0</v>
      </c>
      <c r="N41" s="92">
        <v>0</v>
      </c>
      <c r="O41" s="92">
        <v>0</v>
      </c>
      <c r="P41" s="150">
        <v>49</v>
      </c>
      <c r="Q41" s="148">
        <v>135</v>
      </c>
      <c r="R41" s="114">
        <v>40</v>
      </c>
      <c r="S41" s="115">
        <v>101</v>
      </c>
      <c r="T41" s="115">
        <v>0</v>
      </c>
      <c r="U41" s="115">
        <v>0</v>
      </c>
    </row>
    <row r="42" spans="1:21" s="120" customFormat="1" x14ac:dyDescent="0.3">
      <c r="A42" s="8">
        <v>32</v>
      </c>
      <c r="B42" s="12"/>
      <c r="C42" s="13"/>
      <c r="D42" s="14" t="s">
        <v>241</v>
      </c>
      <c r="E42" s="129">
        <v>0</v>
      </c>
      <c r="F42" s="129">
        <v>0</v>
      </c>
      <c r="G42" s="129">
        <v>0</v>
      </c>
      <c r="H42" s="129">
        <v>0</v>
      </c>
      <c r="I42" s="129">
        <v>0</v>
      </c>
      <c r="J42" s="129">
        <v>0</v>
      </c>
      <c r="K42" s="129">
        <v>0</v>
      </c>
      <c r="L42" s="129">
        <v>0</v>
      </c>
      <c r="M42" s="92">
        <v>0</v>
      </c>
      <c r="N42" s="92">
        <v>0</v>
      </c>
      <c r="O42" s="92">
        <v>0</v>
      </c>
      <c r="P42" s="150">
        <v>19069</v>
      </c>
      <c r="Q42" s="148">
        <v>2276</v>
      </c>
      <c r="R42" s="114">
        <v>14150</v>
      </c>
      <c r="S42" s="115">
        <v>5864</v>
      </c>
      <c r="T42" s="158">
        <v>14984</v>
      </c>
      <c r="U42" s="159">
        <v>7437</v>
      </c>
    </row>
    <row r="43" spans="1:21" s="120" customFormat="1" x14ac:dyDescent="0.3">
      <c r="A43" s="8">
        <v>33</v>
      </c>
      <c r="B43" s="12"/>
      <c r="C43" s="13"/>
      <c r="D43" s="14" t="s">
        <v>242</v>
      </c>
      <c r="E43" s="129">
        <v>0</v>
      </c>
      <c r="F43" s="129">
        <v>0</v>
      </c>
      <c r="G43" s="129">
        <v>0</v>
      </c>
      <c r="H43" s="129">
        <v>0</v>
      </c>
      <c r="I43" s="129">
        <v>0</v>
      </c>
      <c r="J43" s="129">
        <v>0</v>
      </c>
      <c r="K43" s="129">
        <v>0</v>
      </c>
      <c r="L43" s="129">
        <v>0</v>
      </c>
      <c r="M43" s="92">
        <v>0</v>
      </c>
      <c r="N43" s="92">
        <v>0</v>
      </c>
      <c r="O43" s="92">
        <v>0</v>
      </c>
      <c r="P43" s="150">
        <v>16447</v>
      </c>
      <c r="Q43" s="148">
        <v>2170</v>
      </c>
      <c r="R43" s="114">
        <v>4538</v>
      </c>
      <c r="S43" s="115">
        <v>4891</v>
      </c>
      <c r="T43" s="158">
        <v>1595</v>
      </c>
      <c r="U43" s="159">
        <v>4080</v>
      </c>
    </row>
    <row r="44" spans="1:21" s="120" customFormat="1" x14ac:dyDescent="0.3">
      <c r="A44" s="8">
        <v>34</v>
      </c>
      <c r="B44" s="12"/>
      <c r="C44" s="13"/>
      <c r="D44" s="14" t="s">
        <v>243</v>
      </c>
      <c r="E44" s="129">
        <v>0</v>
      </c>
      <c r="F44" s="129">
        <v>0</v>
      </c>
      <c r="G44" s="129">
        <v>0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M44" s="92">
        <v>0</v>
      </c>
      <c r="N44" s="92">
        <v>0</v>
      </c>
      <c r="O44" s="92">
        <v>0</v>
      </c>
      <c r="P44" s="150">
        <v>10857</v>
      </c>
      <c r="Q44" s="148">
        <v>5079</v>
      </c>
      <c r="R44" s="114">
        <v>8659</v>
      </c>
      <c r="S44" s="115">
        <v>10919</v>
      </c>
      <c r="T44" s="158">
        <v>4811</v>
      </c>
      <c r="U44" s="159">
        <v>22531</v>
      </c>
    </row>
    <row r="45" spans="1:21" s="120" customFormat="1" x14ac:dyDescent="0.3">
      <c r="A45" s="8">
        <v>35</v>
      </c>
      <c r="B45" s="12"/>
      <c r="C45" s="13"/>
      <c r="D45" s="14" t="s">
        <v>244</v>
      </c>
      <c r="E45" s="129">
        <v>0</v>
      </c>
      <c r="F45" s="129">
        <v>0</v>
      </c>
      <c r="G45" s="129">
        <v>0</v>
      </c>
      <c r="H45" s="129">
        <v>0</v>
      </c>
      <c r="I45" s="129">
        <v>0</v>
      </c>
      <c r="J45" s="129">
        <v>0</v>
      </c>
      <c r="K45" s="129">
        <v>0</v>
      </c>
      <c r="L45" s="129">
        <v>0</v>
      </c>
      <c r="M45" s="92">
        <v>0</v>
      </c>
      <c r="N45" s="92">
        <v>0</v>
      </c>
      <c r="O45" s="92">
        <v>0</v>
      </c>
      <c r="P45" s="150">
        <v>9019</v>
      </c>
      <c r="Q45" s="148">
        <v>3716</v>
      </c>
      <c r="R45" s="114">
        <v>9188</v>
      </c>
      <c r="S45" s="115">
        <v>6190</v>
      </c>
      <c r="T45" s="158">
        <v>13097</v>
      </c>
      <c r="U45" s="159">
        <v>5954</v>
      </c>
    </row>
    <row r="46" spans="1:21" s="120" customFormat="1" x14ac:dyDescent="0.3">
      <c r="A46" s="8">
        <v>36</v>
      </c>
      <c r="B46" s="12"/>
      <c r="C46" s="13"/>
      <c r="D46" s="14" t="s">
        <v>245</v>
      </c>
      <c r="E46" s="129">
        <v>0</v>
      </c>
      <c r="F46" s="129">
        <v>0</v>
      </c>
      <c r="G46" s="129">
        <v>0</v>
      </c>
      <c r="H46" s="129">
        <v>0</v>
      </c>
      <c r="I46" s="129">
        <v>0</v>
      </c>
      <c r="J46" s="129">
        <v>0</v>
      </c>
      <c r="K46" s="129">
        <v>0</v>
      </c>
      <c r="L46" s="129">
        <v>0</v>
      </c>
      <c r="M46" s="92">
        <v>0</v>
      </c>
      <c r="N46" s="92">
        <v>0</v>
      </c>
      <c r="O46" s="92">
        <v>0</v>
      </c>
      <c r="P46" s="150">
        <v>5760</v>
      </c>
      <c r="Q46" s="148">
        <v>13624</v>
      </c>
      <c r="R46" s="114">
        <v>9265</v>
      </c>
      <c r="S46" s="115">
        <v>33827</v>
      </c>
      <c r="T46" s="158">
        <v>14711</v>
      </c>
      <c r="U46" s="159">
        <v>52311</v>
      </c>
    </row>
    <row r="47" spans="1:21" s="120" customFormat="1" x14ac:dyDescent="0.3">
      <c r="A47" s="8">
        <v>37</v>
      </c>
      <c r="B47" s="12"/>
      <c r="C47" s="13"/>
      <c r="D47" s="14" t="s">
        <v>246</v>
      </c>
      <c r="E47" s="129">
        <v>0</v>
      </c>
      <c r="F47" s="129">
        <v>0</v>
      </c>
      <c r="G47" s="129">
        <v>0</v>
      </c>
      <c r="H47" s="129">
        <v>0</v>
      </c>
      <c r="I47" s="129">
        <v>0</v>
      </c>
      <c r="J47" s="129">
        <v>0</v>
      </c>
      <c r="K47" s="129">
        <v>0</v>
      </c>
      <c r="L47" s="129">
        <v>0</v>
      </c>
      <c r="M47" s="92">
        <v>0</v>
      </c>
      <c r="N47" s="92">
        <v>0</v>
      </c>
      <c r="O47" s="92">
        <v>0</v>
      </c>
      <c r="P47" s="150">
        <v>950</v>
      </c>
      <c r="Q47" s="148">
        <v>289</v>
      </c>
      <c r="R47" s="114">
        <v>933</v>
      </c>
      <c r="S47" s="115">
        <v>176</v>
      </c>
      <c r="T47" s="115">
        <v>0</v>
      </c>
      <c r="U47" s="115">
        <v>0</v>
      </c>
    </row>
    <row r="48" spans="1:21" s="120" customFormat="1" x14ac:dyDescent="0.3">
      <c r="A48" s="8">
        <v>38</v>
      </c>
      <c r="B48" s="12"/>
      <c r="C48" s="13"/>
      <c r="D48" s="97" t="s">
        <v>247</v>
      </c>
      <c r="E48" s="129">
        <v>0</v>
      </c>
      <c r="F48" s="129">
        <v>0</v>
      </c>
      <c r="G48" s="129">
        <v>0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M48" s="92">
        <v>0</v>
      </c>
      <c r="N48" s="92">
        <v>0</v>
      </c>
      <c r="O48" s="92">
        <v>0</v>
      </c>
      <c r="P48" s="150">
        <v>6995</v>
      </c>
      <c r="Q48" s="148">
        <v>5739</v>
      </c>
      <c r="R48" s="114">
        <v>14297</v>
      </c>
      <c r="S48" s="115">
        <v>13215</v>
      </c>
      <c r="T48" s="158">
        <v>11184</v>
      </c>
      <c r="U48" s="159">
        <v>9931</v>
      </c>
    </row>
    <row r="49" spans="1:21" s="120" customFormat="1" x14ac:dyDescent="0.3">
      <c r="A49" s="8">
        <v>39</v>
      </c>
      <c r="B49" s="12"/>
      <c r="C49" s="13"/>
      <c r="D49" s="14" t="s">
        <v>248</v>
      </c>
      <c r="E49" s="129">
        <v>0</v>
      </c>
      <c r="F49" s="129">
        <v>0</v>
      </c>
      <c r="G49" s="129">
        <v>0</v>
      </c>
      <c r="H49" s="129">
        <v>0</v>
      </c>
      <c r="I49" s="129">
        <v>0</v>
      </c>
      <c r="J49" s="129">
        <v>0</v>
      </c>
      <c r="K49" s="129">
        <v>0</v>
      </c>
      <c r="L49" s="129">
        <v>0</v>
      </c>
      <c r="M49" s="92">
        <v>0</v>
      </c>
      <c r="N49" s="92">
        <v>0</v>
      </c>
      <c r="O49" s="92">
        <v>0</v>
      </c>
      <c r="P49" s="150">
        <v>0</v>
      </c>
      <c r="Q49" s="148">
        <v>0</v>
      </c>
      <c r="R49" s="114">
        <v>3781</v>
      </c>
      <c r="S49" s="115">
        <v>1632</v>
      </c>
      <c r="T49" s="115">
        <v>0</v>
      </c>
      <c r="U49" s="115">
        <v>0</v>
      </c>
    </row>
    <row r="50" spans="1:21" s="120" customFormat="1" x14ac:dyDescent="0.3">
      <c r="A50" s="8">
        <v>40</v>
      </c>
      <c r="B50" s="12"/>
      <c r="C50" s="13"/>
      <c r="D50" s="14" t="s">
        <v>249</v>
      </c>
      <c r="E50" s="129">
        <v>0</v>
      </c>
      <c r="F50" s="129">
        <v>0</v>
      </c>
      <c r="G50" s="129">
        <v>0</v>
      </c>
      <c r="H50" s="129">
        <v>0</v>
      </c>
      <c r="I50" s="129">
        <v>0</v>
      </c>
      <c r="J50" s="129">
        <v>0</v>
      </c>
      <c r="K50" s="129">
        <v>0</v>
      </c>
      <c r="L50" s="129">
        <v>0</v>
      </c>
      <c r="M50" s="92">
        <v>0</v>
      </c>
      <c r="N50" s="92">
        <v>0</v>
      </c>
      <c r="O50" s="92">
        <v>0</v>
      </c>
      <c r="P50" s="150">
        <v>80577</v>
      </c>
      <c r="Q50" s="148">
        <v>4321</v>
      </c>
      <c r="R50" s="114">
        <v>130334</v>
      </c>
      <c r="S50" s="115">
        <v>11437</v>
      </c>
      <c r="T50" s="158">
        <v>198585</v>
      </c>
      <c r="U50" s="159">
        <v>12473</v>
      </c>
    </row>
    <row r="51" spans="1:21" s="120" customFormat="1" ht="14.25" customHeight="1" x14ac:dyDescent="0.3">
      <c r="A51" s="8" t="s">
        <v>282</v>
      </c>
      <c r="B51" s="12"/>
      <c r="C51" s="13"/>
      <c r="D51" s="14" t="s">
        <v>270</v>
      </c>
      <c r="E51" s="129">
        <v>0</v>
      </c>
      <c r="F51" s="129">
        <v>0</v>
      </c>
      <c r="G51" s="129">
        <v>0</v>
      </c>
      <c r="H51" s="129">
        <v>0</v>
      </c>
      <c r="I51" s="129">
        <v>0</v>
      </c>
      <c r="J51" s="129">
        <v>0</v>
      </c>
      <c r="K51" s="129">
        <v>0</v>
      </c>
      <c r="L51" s="129">
        <v>0</v>
      </c>
      <c r="M51" s="129">
        <v>0</v>
      </c>
      <c r="N51" s="129">
        <v>0</v>
      </c>
      <c r="O51" s="129">
        <v>0</v>
      </c>
      <c r="P51" s="129">
        <v>0</v>
      </c>
      <c r="Q51" s="129">
        <v>0</v>
      </c>
      <c r="R51" s="114">
        <v>146764</v>
      </c>
      <c r="S51" s="115">
        <v>203</v>
      </c>
      <c r="T51" s="158">
        <v>110889</v>
      </c>
      <c r="U51" s="159">
        <v>130</v>
      </c>
    </row>
    <row r="52" spans="1:21" s="120" customFormat="1" ht="14.25" customHeight="1" x14ac:dyDescent="0.3">
      <c r="A52" s="8">
        <v>42</v>
      </c>
      <c r="B52" s="12"/>
      <c r="C52" s="13"/>
      <c r="D52" s="14" t="s">
        <v>271</v>
      </c>
      <c r="E52" s="129">
        <v>0</v>
      </c>
      <c r="F52" s="129">
        <v>0</v>
      </c>
      <c r="G52" s="129">
        <v>0</v>
      </c>
      <c r="H52" s="129">
        <v>0</v>
      </c>
      <c r="I52" s="129">
        <v>0</v>
      </c>
      <c r="J52" s="129">
        <v>0</v>
      </c>
      <c r="K52" s="129">
        <v>0</v>
      </c>
      <c r="L52" s="129">
        <v>0</v>
      </c>
      <c r="M52" s="129">
        <v>0</v>
      </c>
      <c r="N52" s="129">
        <v>0</v>
      </c>
      <c r="O52" s="129">
        <v>0</v>
      </c>
      <c r="P52" s="129">
        <v>0</v>
      </c>
      <c r="Q52" s="129">
        <v>0</v>
      </c>
      <c r="R52" s="114">
        <v>63878</v>
      </c>
      <c r="S52" s="115">
        <v>0</v>
      </c>
      <c r="T52" s="158">
        <v>74773</v>
      </c>
      <c r="U52" s="159">
        <v>1229</v>
      </c>
    </row>
    <row r="53" spans="1:21" s="120" customFormat="1" x14ac:dyDescent="0.3">
      <c r="A53" s="8">
        <v>43</v>
      </c>
      <c r="B53" s="12"/>
      <c r="C53" s="13"/>
      <c r="D53" s="14" t="s">
        <v>272</v>
      </c>
      <c r="E53" s="129">
        <v>0</v>
      </c>
      <c r="F53" s="129">
        <v>0</v>
      </c>
      <c r="G53" s="129">
        <v>0</v>
      </c>
      <c r="H53" s="129">
        <v>0</v>
      </c>
      <c r="I53" s="129">
        <v>0</v>
      </c>
      <c r="J53" s="129">
        <v>0</v>
      </c>
      <c r="K53" s="129">
        <v>0</v>
      </c>
      <c r="L53" s="129">
        <v>0</v>
      </c>
      <c r="M53" s="129">
        <v>0</v>
      </c>
      <c r="N53" s="129">
        <v>0</v>
      </c>
      <c r="O53" s="129">
        <v>0</v>
      </c>
      <c r="P53" s="129">
        <v>0</v>
      </c>
      <c r="Q53" s="129">
        <v>0</v>
      </c>
      <c r="R53" s="114">
        <v>27838</v>
      </c>
      <c r="S53" s="115">
        <v>8532</v>
      </c>
      <c r="T53" s="158">
        <v>17382</v>
      </c>
      <c r="U53" s="159">
        <v>7565</v>
      </c>
    </row>
    <row r="54" spans="1:21" s="120" customFormat="1" x14ac:dyDescent="0.3">
      <c r="A54" s="8">
        <v>44</v>
      </c>
      <c r="B54" s="12"/>
      <c r="C54" s="13"/>
      <c r="D54" s="14" t="s">
        <v>273</v>
      </c>
      <c r="E54" s="129">
        <v>0</v>
      </c>
      <c r="F54" s="129">
        <v>0</v>
      </c>
      <c r="G54" s="129">
        <v>0</v>
      </c>
      <c r="H54" s="129">
        <v>0</v>
      </c>
      <c r="I54" s="129">
        <v>0</v>
      </c>
      <c r="J54" s="129">
        <v>0</v>
      </c>
      <c r="K54" s="129">
        <v>0</v>
      </c>
      <c r="L54" s="129">
        <v>0</v>
      </c>
      <c r="M54" s="129">
        <v>0</v>
      </c>
      <c r="N54" s="129">
        <v>0</v>
      </c>
      <c r="O54" s="129">
        <v>0</v>
      </c>
      <c r="P54" s="129">
        <v>0</v>
      </c>
      <c r="Q54" s="129">
        <v>0</v>
      </c>
      <c r="R54" s="114">
        <v>22544</v>
      </c>
      <c r="S54" s="115">
        <v>487</v>
      </c>
      <c r="T54" s="158">
        <v>11081</v>
      </c>
      <c r="U54" s="159">
        <v>6539</v>
      </c>
    </row>
    <row r="55" spans="1:21" s="120" customFormat="1" x14ac:dyDescent="0.3">
      <c r="A55" s="8">
        <v>45</v>
      </c>
      <c r="B55" s="12"/>
      <c r="C55" s="13"/>
      <c r="D55" s="14" t="s">
        <v>295</v>
      </c>
      <c r="E55" s="129">
        <v>0</v>
      </c>
      <c r="F55" s="129">
        <v>0</v>
      </c>
      <c r="G55" s="129">
        <v>0</v>
      </c>
      <c r="H55" s="129">
        <v>0</v>
      </c>
      <c r="I55" s="129">
        <v>0</v>
      </c>
      <c r="J55" s="129">
        <v>0</v>
      </c>
      <c r="K55" s="129">
        <v>0</v>
      </c>
      <c r="L55" s="129">
        <v>0</v>
      </c>
      <c r="M55" s="129">
        <v>0</v>
      </c>
      <c r="N55" s="129">
        <v>0</v>
      </c>
      <c r="O55" s="129">
        <v>0</v>
      </c>
      <c r="P55" s="129">
        <v>0</v>
      </c>
      <c r="Q55" s="129">
        <v>0</v>
      </c>
      <c r="R55" s="114">
        <v>0</v>
      </c>
      <c r="S55" s="114">
        <v>0</v>
      </c>
      <c r="T55" s="158">
        <v>5967</v>
      </c>
      <c r="U55" s="159">
        <v>9261</v>
      </c>
    </row>
    <row r="56" spans="1:21" s="120" customFormat="1" x14ac:dyDescent="0.3">
      <c r="A56" s="8">
        <v>46</v>
      </c>
      <c r="B56" s="12"/>
      <c r="C56" s="13"/>
      <c r="D56" s="14" t="s">
        <v>296</v>
      </c>
      <c r="E56" s="129">
        <v>0</v>
      </c>
      <c r="F56" s="129">
        <v>0</v>
      </c>
      <c r="G56" s="129">
        <v>0</v>
      </c>
      <c r="H56" s="129">
        <v>0</v>
      </c>
      <c r="I56" s="129">
        <v>0</v>
      </c>
      <c r="J56" s="129">
        <v>0</v>
      </c>
      <c r="K56" s="129">
        <v>0</v>
      </c>
      <c r="L56" s="129">
        <v>0</v>
      </c>
      <c r="M56" s="129">
        <v>0</v>
      </c>
      <c r="N56" s="129">
        <v>0</v>
      </c>
      <c r="O56" s="129">
        <v>0</v>
      </c>
      <c r="P56" s="129">
        <v>0</v>
      </c>
      <c r="Q56" s="129">
        <v>0</v>
      </c>
      <c r="R56" s="114">
        <v>0</v>
      </c>
      <c r="S56" s="114">
        <v>0</v>
      </c>
      <c r="T56" s="158">
        <v>21299</v>
      </c>
      <c r="U56" s="159">
        <v>345</v>
      </c>
    </row>
    <row r="57" spans="1:21" s="120" customFormat="1" x14ac:dyDescent="0.3">
      <c r="A57" s="8">
        <v>47</v>
      </c>
      <c r="B57" s="12"/>
      <c r="C57" s="13"/>
      <c r="D57" s="14" t="s">
        <v>297</v>
      </c>
      <c r="E57" s="129">
        <v>0</v>
      </c>
      <c r="F57" s="129">
        <v>0</v>
      </c>
      <c r="G57" s="129">
        <v>0</v>
      </c>
      <c r="H57" s="129">
        <v>0</v>
      </c>
      <c r="I57" s="129">
        <v>0</v>
      </c>
      <c r="J57" s="129">
        <v>0</v>
      </c>
      <c r="K57" s="129">
        <v>0</v>
      </c>
      <c r="L57" s="129">
        <v>0</v>
      </c>
      <c r="M57" s="129">
        <v>0</v>
      </c>
      <c r="N57" s="129">
        <v>0</v>
      </c>
      <c r="O57" s="129">
        <v>0</v>
      </c>
      <c r="P57" s="129">
        <v>0</v>
      </c>
      <c r="Q57" s="129">
        <v>0</v>
      </c>
      <c r="R57" s="114">
        <v>0</v>
      </c>
      <c r="S57" s="114">
        <v>0</v>
      </c>
      <c r="T57" s="158">
        <v>771</v>
      </c>
      <c r="U57" s="159">
        <v>4</v>
      </c>
    </row>
    <row r="58" spans="1:21" x14ac:dyDescent="0.3">
      <c r="B58" s="27"/>
      <c r="C58" s="28" t="s">
        <v>25</v>
      </c>
      <c r="D58" s="28"/>
      <c r="E58" s="29">
        <f t="shared" ref="E58:K58" si="1">SUM(E11:E37)</f>
        <v>455961</v>
      </c>
      <c r="F58" s="60">
        <f t="shared" si="1"/>
        <v>440202</v>
      </c>
      <c r="G58" s="29">
        <f t="shared" si="1"/>
        <v>570236</v>
      </c>
      <c r="H58" s="29">
        <f t="shared" si="1"/>
        <v>1880410</v>
      </c>
      <c r="I58" s="29">
        <f t="shared" si="1"/>
        <v>200855</v>
      </c>
      <c r="J58" s="87">
        <f t="shared" si="1"/>
        <v>812169</v>
      </c>
      <c r="K58" s="29">
        <f t="shared" si="1"/>
        <v>1354023</v>
      </c>
      <c r="L58" s="60">
        <f>SUM(L11:L38)</f>
        <v>51528</v>
      </c>
      <c r="M58" s="29">
        <f>SUM(M11:M38)</f>
        <v>23253</v>
      </c>
      <c r="N58" s="60">
        <f>SUM(N11:N38)</f>
        <v>418975</v>
      </c>
      <c r="O58" s="29">
        <f>SUM(O11:O38)</f>
        <v>14481</v>
      </c>
      <c r="P58" s="101">
        <f>SUM(P11:P50)</f>
        <v>1260869</v>
      </c>
      <c r="Q58" s="105">
        <f>SUM(Q11:Q50)</f>
        <v>176025</v>
      </c>
      <c r="R58" s="117">
        <f>SUM(R11:R55)</f>
        <v>1277908</v>
      </c>
      <c r="S58" s="116">
        <f>SUM(S11:S54)</f>
        <v>257521</v>
      </c>
      <c r="T58" s="117">
        <f>SUM(T11:T57)</f>
        <v>2081953</v>
      </c>
      <c r="U58" s="116">
        <f>SUM(U11:U57)</f>
        <v>324369</v>
      </c>
    </row>
    <row r="59" spans="1:21" x14ac:dyDescent="0.3">
      <c r="A59" s="18" t="s">
        <v>26</v>
      </c>
      <c r="B59" s="19"/>
      <c r="C59" s="1" t="s">
        <v>27</v>
      </c>
      <c r="D59" s="30"/>
      <c r="E59" s="15"/>
      <c r="F59" s="61"/>
      <c r="G59" s="15"/>
      <c r="H59" s="15"/>
      <c r="I59" s="15"/>
      <c r="J59" s="38"/>
      <c r="K59" s="61"/>
      <c r="L59" s="68"/>
      <c r="M59" s="74"/>
      <c r="N59" s="68"/>
      <c r="O59" s="74"/>
      <c r="P59" s="100"/>
      <c r="Q59" s="104"/>
      <c r="R59" s="158"/>
      <c r="S59" s="159"/>
      <c r="T59" s="112"/>
      <c r="U59" s="107"/>
    </row>
    <row r="60" spans="1:21" s="120" customFormat="1" x14ac:dyDescent="0.3">
      <c r="A60" s="8">
        <v>1</v>
      </c>
      <c r="B60" s="12"/>
      <c r="C60" s="13"/>
      <c r="D60" s="14" t="s">
        <v>28</v>
      </c>
      <c r="E60" s="15">
        <v>82403</v>
      </c>
      <c r="F60" s="61">
        <v>139265</v>
      </c>
      <c r="G60" s="15">
        <v>145422</v>
      </c>
      <c r="H60" s="15">
        <v>89372</v>
      </c>
      <c r="I60" s="15">
        <v>50395</v>
      </c>
      <c r="J60" s="38">
        <v>79756</v>
      </c>
      <c r="K60" s="61">
        <v>63156</v>
      </c>
      <c r="L60" s="151">
        <v>37265</v>
      </c>
      <c r="M60" s="75">
        <v>14221</v>
      </c>
      <c r="N60" s="151">
        <v>29521</v>
      </c>
      <c r="O60" s="75">
        <v>1290</v>
      </c>
      <c r="P60" s="152">
        <v>1831</v>
      </c>
      <c r="Q60" s="153">
        <v>2004</v>
      </c>
      <c r="R60" s="114">
        <v>26334</v>
      </c>
      <c r="S60" s="115">
        <v>53973</v>
      </c>
      <c r="T60" s="171">
        <v>38568</v>
      </c>
      <c r="U60" s="172">
        <v>99782</v>
      </c>
    </row>
    <row r="61" spans="1:21" s="120" customFormat="1" x14ac:dyDescent="0.3">
      <c r="A61" s="8">
        <v>2</v>
      </c>
      <c r="B61" s="12"/>
      <c r="C61" s="13"/>
      <c r="D61" s="14" t="s">
        <v>29</v>
      </c>
      <c r="E61" s="15">
        <v>363507</v>
      </c>
      <c r="F61" s="61">
        <v>369963</v>
      </c>
      <c r="G61" s="15">
        <v>697468</v>
      </c>
      <c r="H61" s="15">
        <v>79044</v>
      </c>
      <c r="I61" s="15">
        <v>341758</v>
      </c>
      <c r="J61" s="38">
        <v>99715</v>
      </c>
      <c r="K61" s="61">
        <v>308777</v>
      </c>
      <c r="L61" s="151">
        <v>14464</v>
      </c>
      <c r="M61" s="75">
        <v>45272</v>
      </c>
      <c r="N61" s="151">
        <v>11719</v>
      </c>
      <c r="O61" s="75">
        <v>535</v>
      </c>
      <c r="P61" s="152">
        <v>450850</v>
      </c>
      <c r="Q61" s="153">
        <v>83833</v>
      </c>
      <c r="R61" s="114">
        <v>22814</v>
      </c>
      <c r="S61" s="115">
        <v>192690</v>
      </c>
      <c r="T61" s="171">
        <v>22812</v>
      </c>
      <c r="U61" s="172">
        <v>204943</v>
      </c>
    </row>
    <row r="62" spans="1:21" s="120" customFormat="1" x14ac:dyDescent="0.3">
      <c r="A62" s="8">
        <v>3</v>
      </c>
      <c r="B62" s="12"/>
      <c r="C62" s="13"/>
      <c r="D62" s="14" t="s">
        <v>30</v>
      </c>
      <c r="E62" s="15">
        <v>1774009</v>
      </c>
      <c r="F62" s="61">
        <v>1591674</v>
      </c>
      <c r="G62" s="15">
        <v>2236506</v>
      </c>
      <c r="H62" s="15">
        <v>559479</v>
      </c>
      <c r="I62" s="15">
        <v>1898985</v>
      </c>
      <c r="J62" s="38">
        <v>478874</v>
      </c>
      <c r="K62" s="61">
        <v>1790851</v>
      </c>
      <c r="L62" s="151">
        <v>142615</v>
      </c>
      <c r="M62" s="75">
        <v>256223</v>
      </c>
      <c r="N62" s="151">
        <v>144646</v>
      </c>
      <c r="O62" s="75">
        <v>6686</v>
      </c>
      <c r="P62" s="152">
        <v>450850</v>
      </c>
      <c r="Q62" s="153">
        <v>480884</v>
      </c>
      <c r="R62" s="114">
        <v>526558</v>
      </c>
      <c r="S62" s="115">
        <v>1150979</v>
      </c>
      <c r="T62" s="171">
        <v>509477</v>
      </c>
      <c r="U62" s="172">
        <v>1328680</v>
      </c>
    </row>
    <row r="63" spans="1:21" s="120" customFormat="1" x14ac:dyDescent="0.3">
      <c r="A63" s="8">
        <v>4</v>
      </c>
      <c r="B63" s="12"/>
      <c r="C63" s="13"/>
      <c r="D63" s="14" t="s">
        <v>31</v>
      </c>
      <c r="E63" s="15">
        <v>11680</v>
      </c>
      <c r="F63" s="61">
        <v>20504</v>
      </c>
      <c r="G63" s="15">
        <v>39174</v>
      </c>
      <c r="H63" s="15">
        <v>2343</v>
      </c>
      <c r="I63" s="15">
        <v>51289</v>
      </c>
      <c r="J63" s="38">
        <v>4420</v>
      </c>
      <c r="K63" s="61">
        <v>52619</v>
      </c>
      <c r="L63" s="151">
        <v>5125</v>
      </c>
      <c r="M63" s="75">
        <v>10978</v>
      </c>
      <c r="N63" s="151">
        <v>2372</v>
      </c>
      <c r="O63" s="75">
        <v>1371</v>
      </c>
      <c r="P63" s="152">
        <v>2280</v>
      </c>
      <c r="Q63" s="153">
        <v>17398</v>
      </c>
      <c r="R63" s="114">
        <v>2741</v>
      </c>
      <c r="S63" s="115">
        <v>36142</v>
      </c>
      <c r="T63" s="171">
        <v>3072</v>
      </c>
      <c r="U63" s="172">
        <v>32332</v>
      </c>
    </row>
    <row r="64" spans="1:21" s="120" customFormat="1" x14ac:dyDescent="0.3">
      <c r="A64" s="8">
        <v>5</v>
      </c>
      <c r="B64" s="12"/>
      <c r="C64" s="13"/>
      <c r="D64" s="14" t="s">
        <v>32</v>
      </c>
      <c r="E64" s="23" t="s">
        <v>15</v>
      </c>
      <c r="F64" s="61">
        <v>906001</v>
      </c>
      <c r="G64" s="15">
        <v>1356321</v>
      </c>
      <c r="H64" s="15">
        <v>1045766</v>
      </c>
      <c r="I64" s="15">
        <v>240770</v>
      </c>
      <c r="J64" s="38">
        <v>822310</v>
      </c>
      <c r="K64" s="61">
        <v>218395</v>
      </c>
      <c r="L64" s="151">
        <v>537216</v>
      </c>
      <c r="M64" s="75">
        <v>48315</v>
      </c>
      <c r="N64" s="151">
        <v>362158</v>
      </c>
      <c r="O64" s="75">
        <v>6877</v>
      </c>
      <c r="P64" s="152">
        <v>900115</v>
      </c>
      <c r="Q64" s="153">
        <v>52438</v>
      </c>
      <c r="R64" s="114">
        <v>1168485</v>
      </c>
      <c r="S64" s="115">
        <v>290839</v>
      </c>
      <c r="T64" s="171">
        <v>1703123</v>
      </c>
      <c r="U64" s="172">
        <v>357730</v>
      </c>
    </row>
    <row r="65" spans="1:21" s="120" customFormat="1" x14ac:dyDescent="0.3">
      <c r="A65" s="8">
        <v>6</v>
      </c>
      <c r="B65" s="12"/>
      <c r="C65" s="13"/>
      <c r="D65" s="14" t="s">
        <v>33</v>
      </c>
      <c r="E65" s="23" t="s">
        <v>15</v>
      </c>
      <c r="F65" s="61">
        <v>544460</v>
      </c>
      <c r="G65" s="15">
        <v>551050</v>
      </c>
      <c r="H65" s="15">
        <v>88704</v>
      </c>
      <c r="I65" s="15">
        <v>368744</v>
      </c>
      <c r="J65" s="38">
        <v>51483</v>
      </c>
      <c r="K65" s="61">
        <v>306696</v>
      </c>
      <c r="L65" s="151">
        <v>27044</v>
      </c>
      <c r="M65" s="75">
        <v>77779</v>
      </c>
      <c r="N65" s="151">
        <v>28242</v>
      </c>
      <c r="O65" s="75">
        <v>8021</v>
      </c>
      <c r="P65" s="152">
        <v>93953</v>
      </c>
      <c r="Q65" s="153">
        <v>207218</v>
      </c>
      <c r="R65" s="114">
        <v>94802</v>
      </c>
      <c r="S65" s="115">
        <v>362791</v>
      </c>
      <c r="T65" s="171">
        <v>90421</v>
      </c>
      <c r="U65" s="172">
        <v>379360</v>
      </c>
    </row>
    <row r="66" spans="1:21" s="120" customFormat="1" x14ac:dyDescent="0.3">
      <c r="A66" s="8">
        <v>7</v>
      </c>
      <c r="B66" s="12"/>
      <c r="C66" s="13"/>
      <c r="D66" s="14" t="s">
        <v>199</v>
      </c>
      <c r="E66" s="23" t="s">
        <v>15</v>
      </c>
      <c r="F66" s="23" t="s">
        <v>15</v>
      </c>
      <c r="G66" s="23" t="s">
        <v>15</v>
      </c>
      <c r="H66" s="23" t="s">
        <v>15</v>
      </c>
      <c r="I66" s="23" t="s">
        <v>15</v>
      </c>
      <c r="J66" s="23" t="s">
        <v>15</v>
      </c>
      <c r="K66" s="23" t="s">
        <v>15</v>
      </c>
      <c r="L66" s="151">
        <v>0</v>
      </c>
      <c r="M66" s="75">
        <v>0</v>
      </c>
      <c r="N66" s="151">
        <v>0</v>
      </c>
      <c r="O66" s="75">
        <v>0</v>
      </c>
      <c r="P66" s="152">
        <v>0</v>
      </c>
      <c r="Q66" s="153">
        <v>0</v>
      </c>
      <c r="R66" s="114">
        <v>0</v>
      </c>
      <c r="S66" s="115">
        <v>0</v>
      </c>
      <c r="T66" s="115">
        <v>0</v>
      </c>
      <c r="U66" s="115">
        <v>0</v>
      </c>
    </row>
    <row r="67" spans="1:21" s="120" customFormat="1" x14ac:dyDescent="0.3">
      <c r="A67" s="8">
        <v>8</v>
      </c>
      <c r="B67" s="12"/>
      <c r="C67" s="13"/>
      <c r="D67" s="14" t="s">
        <v>235</v>
      </c>
      <c r="E67" s="23" t="s">
        <v>15</v>
      </c>
      <c r="F67" s="23" t="s">
        <v>15</v>
      </c>
      <c r="G67" s="23" t="s">
        <v>15</v>
      </c>
      <c r="H67" s="23" t="s">
        <v>15</v>
      </c>
      <c r="I67" s="23" t="s">
        <v>15</v>
      </c>
      <c r="J67" s="23" t="s">
        <v>15</v>
      </c>
      <c r="K67" s="23" t="s">
        <v>15</v>
      </c>
      <c r="L67" s="23" t="s">
        <v>15</v>
      </c>
      <c r="M67" s="23" t="s">
        <v>15</v>
      </c>
      <c r="N67" s="23" t="s">
        <v>15</v>
      </c>
      <c r="O67" s="23" t="s">
        <v>15</v>
      </c>
      <c r="P67" s="152">
        <v>46235</v>
      </c>
      <c r="Q67" s="153">
        <v>1630</v>
      </c>
      <c r="R67" s="114">
        <v>54404</v>
      </c>
      <c r="S67" s="115">
        <v>7320</v>
      </c>
      <c r="T67" s="171">
        <v>59323</v>
      </c>
      <c r="U67" s="172">
        <v>16706</v>
      </c>
    </row>
    <row r="68" spans="1:21" s="120" customFormat="1" x14ac:dyDescent="0.3">
      <c r="A68" s="8">
        <v>9</v>
      </c>
      <c r="B68" s="12"/>
      <c r="C68" s="13"/>
      <c r="D68" s="14" t="s">
        <v>236</v>
      </c>
      <c r="E68" s="23" t="s">
        <v>15</v>
      </c>
      <c r="F68" s="23" t="s">
        <v>15</v>
      </c>
      <c r="G68" s="23" t="s">
        <v>15</v>
      </c>
      <c r="H68" s="23" t="s">
        <v>15</v>
      </c>
      <c r="I68" s="23" t="s">
        <v>15</v>
      </c>
      <c r="J68" s="23" t="s">
        <v>15</v>
      </c>
      <c r="K68" s="23" t="s">
        <v>15</v>
      </c>
      <c r="L68" s="23" t="s">
        <v>15</v>
      </c>
      <c r="M68" s="23" t="s">
        <v>15</v>
      </c>
      <c r="N68" s="23" t="s">
        <v>15</v>
      </c>
      <c r="O68" s="23" t="s">
        <v>15</v>
      </c>
      <c r="P68" s="152">
        <v>28445</v>
      </c>
      <c r="Q68" s="153">
        <v>17327</v>
      </c>
      <c r="R68" s="114">
        <v>28001</v>
      </c>
      <c r="S68" s="115">
        <v>35493</v>
      </c>
      <c r="T68" s="171">
        <v>25990</v>
      </c>
      <c r="U68" s="172">
        <v>32297</v>
      </c>
    </row>
    <row r="69" spans="1:21" x14ac:dyDescent="0.3">
      <c r="A69" s="18"/>
      <c r="B69" s="27"/>
      <c r="C69" s="28" t="s">
        <v>25</v>
      </c>
      <c r="D69" s="31"/>
      <c r="E69" s="29">
        <f>SUM(E60:E68)</f>
        <v>2231599</v>
      </c>
      <c r="F69" s="60">
        <f t="shared" ref="F69" si="2">SUM(F60:F68)</f>
        <v>3571867</v>
      </c>
      <c r="G69" s="29">
        <f>SUM(G60:G68)</f>
        <v>5025941</v>
      </c>
      <c r="H69" s="29">
        <f t="shared" ref="H69:I69" si="3">SUM(H60:H68)</f>
        <v>1864708</v>
      </c>
      <c r="I69" s="29">
        <f t="shared" si="3"/>
        <v>2951941</v>
      </c>
      <c r="J69" s="87">
        <f t="shared" ref="J69:M69" si="4">SUM(J60:J68)</f>
        <v>1536558</v>
      </c>
      <c r="K69" s="60">
        <f t="shared" si="4"/>
        <v>2740494</v>
      </c>
      <c r="L69" s="60">
        <f t="shared" si="4"/>
        <v>763729</v>
      </c>
      <c r="M69" s="29">
        <f t="shared" si="4"/>
        <v>452788</v>
      </c>
      <c r="N69" s="60">
        <f t="shared" ref="N69:O69" si="5">SUM(N60:N68)</f>
        <v>578658</v>
      </c>
      <c r="O69" s="29">
        <f t="shared" si="5"/>
        <v>24780</v>
      </c>
      <c r="P69" s="101">
        <f>SUM(P60:P68)</f>
        <v>1974559</v>
      </c>
      <c r="Q69" s="106">
        <f>SUM(Q60:Q68)</f>
        <v>862732</v>
      </c>
      <c r="R69" s="117">
        <f>SUM(R60:R68)</f>
        <v>1924139</v>
      </c>
      <c r="S69" s="116">
        <f>SUM(S60:S68)</f>
        <v>2130227</v>
      </c>
      <c r="T69" s="117">
        <f t="shared" ref="T69:U69" si="6">SUM(T60:T68)</f>
        <v>2452786</v>
      </c>
      <c r="U69" s="116">
        <f t="shared" si="6"/>
        <v>2451830</v>
      </c>
    </row>
    <row r="70" spans="1:21" x14ac:dyDescent="0.3">
      <c r="A70" s="18" t="s">
        <v>34</v>
      </c>
      <c r="B70" s="19"/>
      <c r="C70" s="1" t="s">
        <v>35</v>
      </c>
      <c r="D70" s="30"/>
      <c r="E70" s="15"/>
      <c r="F70" s="61"/>
      <c r="G70" s="15"/>
      <c r="H70" s="15"/>
      <c r="I70" s="15"/>
      <c r="J70" s="38"/>
      <c r="K70" s="61"/>
      <c r="L70" s="70"/>
      <c r="M70" s="69"/>
      <c r="N70" s="70"/>
      <c r="O70" s="69"/>
      <c r="P70" s="100"/>
      <c r="Q70" s="104"/>
      <c r="R70" s="158"/>
      <c r="S70" s="159"/>
      <c r="T70" s="112"/>
      <c r="U70" s="107"/>
    </row>
    <row r="71" spans="1:21" s="120" customFormat="1" x14ac:dyDescent="0.3">
      <c r="A71" s="130">
        <v>1</v>
      </c>
      <c r="B71" s="123"/>
      <c r="C71" s="124"/>
      <c r="D71" s="125" t="s">
        <v>36</v>
      </c>
      <c r="E71" s="126">
        <v>290148</v>
      </c>
      <c r="F71" s="127">
        <v>315078</v>
      </c>
      <c r="G71" s="126">
        <v>370222</v>
      </c>
      <c r="H71" s="126">
        <v>23235</v>
      </c>
      <c r="I71" s="126">
        <v>367848</v>
      </c>
      <c r="J71" s="128">
        <v>28041</v>
      </c>
      <c r="K71" s="127">
        <v>322513</v>
      </c>
      <c r="L71" s="70">
        <v>7449</v>
      </c>
      <c r="M71" s="69">
        <v>45019</v>
      </c>
      <c r="N71" s="70">
        <v>6068</v>
      </c>
      <c r="O71" s="69">
        <v>1441</v>
      </c>
      <c r="P71" s="100">
        <v>14361</v>
      </c>
      <c r="Q71" s="104">
        <v>93552</v>
      </c>
      <c r="R71" s="114">
        <v>13720</v>
      </c>
      <c r="S71" s="115">
        <v>216108</v>
      </c>
      <c r="T71" s="171">
        <v>9827</v>
      </c>
      <c r="U71" s="172">
        <v>203025</v>
      </c>
    </row>
    <row r="72" spans="1:21" s="120" customFormat="1" x14ac:dyDescent="0.3">
      <c r="A72" s="130">
        <v>2</v>
      </c>
      <c r="B72" s="123"/>
      <c r="C72" s="124"/>
      <c r="D72" s="125" t="s">
        <v>37</v>
      </c>
      <c r="E72" s="126">
        <v>157760</v>
      </c>
      <c r="F72" s="127">
        <v>182593</v>
      </c>
      <c r="G72" s="126">
        <v>229337</v>
      </c>
      <c r="H72" s="126">
        <v>3450</v>
      </c>
      <c r="I72" s="126">
        <v>211768</v>
      </c>
      <c r="J72" s="131">
        <v>11397</v>
      </c>
      <c r="K72" s="132">
        <v>171471</v>
      </c>
      <c r="L72" s="70">
        <v>3844</v>
      </c>
      <c r="M72" s="69">
        <v>21652</v>
      </c>
      <c r="N72" s="70">
        <v>3229</v>
      </c>
      <c r="O72" s="69">
        <v>1065</v>
      </c>
      <c r="P72" s="100">
        <v>6498</v>
      </c>
      <c r="Q72" s="104">
        <v>54352</v>
      </c>
      <c r="R72" s="114">
        <v>5501</v>
      </c>
      <c r="S72" s="181">
        <v>99482</v>
      </c>
      <c r="T72" s="180">
        <v>3982</v>
      </c>
      <c r="U72" s="180">
        <v>82677</v>
      </c>
    </row>
    <row r="73" spans="1:21" s="120" customFormat="1" ht="20.25" customHeight="1" x14ac:dyDescent="0.3">
      <c r="A73" s="130">
        <v>3</v>
      </c>
      <c r="B73" s="123"/>
      <c r="C73" s="124"/>
      <c r="D73" s="125" t="s">
        <v>38</v>
      </c>
      <c r="E73" s="126">
        <v>30448</v>
      </c>
      <c r="F73" s="127">
        <v>34523</v>
      </c>
      <c r="G73" s="126">
        <v>37487</v>
      </c>
      <c r="H73" s="126">
        <v>951</v>
      </c>
      <c r="I73" s="126">
        <v>48819</v>
      </c>
      <c r="J73" s="128">
        <v>2051</v>
      </c>
      <c r="K73" s="127">
        <v>58188</v>
      </c>
      <c r="L73" s="70">
        <v>419</v>
      </c>
      <c r="M73" s="69">
        <v>8486</v>
      </c>
      <c r="N73" s="70">
        <v>334</v>
      </c>
      <c r="O73" s="69">
        <v>279</v>
      </c>
      <c r="P73" s="100">
        <v>1287</v>
      </c>
      <c r="Q73" s="104">
        <v>17972</v>
      </c>
      <c r="R73" s="114">
        <v>2609</v>
      </c>
      <c r="S73" s="115">
        <v>65293</v>
      </c>
      <c r="T73" s="171">
        <v>2406</v>
      </c>
      <c r="U73" s="172">
        <v>76286</v>
      </c>
    </row>
    <row r="74" spans="1:21" s="120" customFormat="1" x14ac:dyDescent="0.3">
      <c r="A74" s="130">
        <v>4</v>
      </c>
      <c r="B74" s="123"/>
      <c r="C74" s="124"/>
      <c r="D74" s="125" t="s">
        <v>39</v>
      </c>
      <c r="E74" s="126">
        <v>450120</v>
      </c>
      <c r="F74" s="127">
        <v>524647</v>
      </c>
      <c r="G74" s="126">
        <v>642669</v>
      </c>
      <c r="H74" s="126">
        <v>135826</v>
      </c>
      <c r="I74" s="126">
        <v>631592</v>
      </c>
      <c r="J74" s="128">
        <v>138077</v>
      </c>
      <c r="K74" s="127">
        <v>887851</v>
      </c>
      <c r="L74" s="70">
        <v>46132</v>
      </c>
      <c r="M74" s="69">
        <v>150285</v>
      </c>
      <c r="N74" s="70">
        <v>42062</v>
      </c>
      <c r="O74" s="69">
        <v>3895</v>
      </c>
      <c r="P74" s="100">
        <v>116263</v>
      </c>
      <c r="Q74" s="104">
        <v>326855</v>
      </c>
      <c r="R74" s="114">
        <v>118345</v>
      </c>
      <c r="S74" s="115">
        <v>778534</v>
      </c>
      <c r="T74" s="171">
        <v>92848</v>
      </c>
      <c r="U74" s="172">
        <v>833859</v>
      </c>
    </row>
    <row r="75" spans="1:21" s="120" customFormat="1" x14ac:dyDescent="0.3">
      <c r="A75" s="130">
        <v>5</v>
      </c>
      <c r="B75" s="123"/>
      <c r="C75" s="124"/>
      <c r="D75" s="125" t="s">
        <v>40</v>
      </c>
      <c r="E75" s="133" t="s">
        <v>15</v>
      </c>
      <c r="F75" s="132">
        <v>665303</v>
      </c>
      <c r="G75" s="134">
        <v>1343152</v>
      </c>
      <c r="H75" s="134">
        <v>79268</v>
      </c>
      <c r="I75" s="134">
        <v>1395627</v>
      </c>
      <c r="J75" s="131">
        <v>7092</v>
      </c>
      <c r="K75" s="132">
        <v>1548573</v>
      </c>
      <c r="L75" s="70">
        <v>0</v>
      </c>
      <c r="M75" s="69">
        <v>0</v>
      </c>
      <c r="N75" s="70">
        <v>0</v>
      </c>
      <c r="O75" s="69">
        <v>0</v>
      </c>
      <c r="P75" s="100"/>
      <c r="Q75" s="104"/>
      <c r="R75" s="114">
        <v>605</v>
      </c>
      <c r="S75" s="115">
        <v>731578</v>
      </c>
      <c r="T75" s="171">
        <v>92457</v>
      </c>
      <c r="U75" s="172">
        <v>956107</v>
      </c>
    </row>
    <row r="76" spans="1:21" s="120" customFormat="1" x14ac:dyDescent="0.3">
      <c r="A76" s="130">
        <v>6</v>
      </c>
      <c r="B76" s="123"/>
      <c r="C76" s="124"/>
      <c r="D76" s="125" t="s">
        <v>41</v>
      </c>
      <c r="E76" s="133">
        <v>8158</v>
      </c>
      <c r="F76" s="127">
        <v>8015</v>
      </c>
      <c r="G76" s="126">
        <v>8511</v>
      </c>
      <c r="H76" s="126">
        <v>51</v>
      </c>
      <c r="I76" s="126">
        <v>7449</v>
      </c>
      <c r="J76" s="128">
        <v>179</v>
      </c>
      <c r="K76" s="127">
        <v>5996</v>
      </c>
      <c r="L76" s="70">
        <v>170</v>
      </c>
      <c r="M76" s="69">
        <v>706</v>
      </c>
      <c r="N76" s="70">
        <v>155</v>
      </c>
      <c r="O76" s="69">
        <v>36</v>
      </c>
      <c r="P76" s="100">
        <v>213</v>
      </c>
      <c r="Q76" s="104">
        <v>1995</v>
      </c>
      <c r="R76" s="114">
        <v>224</v>
      </c>
      <c r="S76" s="115">
        <v>3530</v>
      </c>
      <c r="T76" s="158">
        <v>207</v>
      </c>
      <c r="U76" s="172">
        <v>3756</v>
      </c>
    </row>
    <row r="77" spans="1:21" s="120" customFormat="1" x14ac:dyDescent="0.3">
      <c r="A77" s="130">
        <v>7</v>
      </c>
      <c r="B77" s="123"/>
      <c r="C77" s="124"/>
      <c r="D77" s="125" t="s">
        <v>42</v>
      </c>
      <c r="E77" s="126">
        <v>111305</v>
      </c>
      <c r="F77" s="127">
        <v>125465</v>
      </c>
      <c r="G77" s="126">
        <v>118350</v>
      </c>
      <c r="H77" s="126">
        <v>50863</v>
      </c>
      <c r="I77" s="126">
        <v>76869</v>
      </c>
      <c r="J77" s="128">
        <v>61208</v>
      </c>
      <c r="K77" s="127">
        <v>87509</v>
      </c>
      <c r="L77" s="135" t="s">
        <v>15</v>
      </c>
      <c r="M77" s="135" t="s">
        <v>15</v>
      </c>
      <c r="N77" s="135">
        <v>0</v>
      </c>
      <c r="O77" s="135">
        <v>0</v>
      </c>
      <c r="P77" s="100">
        <v>0</v>
      </c>
      <c r="Q77" s="104">
        <v>0</v>
      </c>
      <c r="R77" s="114">
        <v>11424</v>
      </c>
      <c r="S77" s="115">
        <v>5660</v>
      </c>
      <c r="T77" s="171">
        <v>24712</v>
      </c>
      <c r="U77" s="172">
        <v>29342</v>
      </c>
    </row>
    <row r="78" spans="1:21" s="120" customFormat="1" x14ac:dyDescent="0.3">
      <c r="A78" s="130">
        <v>9</v>
      </c>
      <c r="B78" s="123"/>
      <c r="C78" s="124"/>
      <c r="D78" s="125" t="s">
        <v>43</v>
      </c>
      <c r="E78" s="133">
        <v>76411</v>
      </c>
      <c r="F78" s="127">
        <v>74122</v>
      </c>
      <c r="G78" s="126">
        <v>57050</v>
      </c>
      <c r="H78" s="134" t="s">
        <v>15</v>
      </c>
      <c r="I78" s="126">
        <v>66831</v>
      </c>
      <c r="J78" s="131" t="s">
        <v>15</v>
      </c>
      <c r="K78" s="127">
        <v>84916</v>
      </c>
      <c r="L78" s="135" t="s">
        <v>15</v>
      </c>
      <c r="M78" s="135" t="s">
        <v>15</v>
      </c>
      <c r="N78" s="135">
        <v>0</v>
      </c>
      <c r="O78" s="135">
        <v>0</v>
      </c>
      <c r="P78" s="100">
        <v>0</v>
      </c>
      <c r="Q78" s="104">
        <v>0</v>
      </c>
      <c r="R78" s="114">
        <v>1113</v>
      </c>
      <c r="S78" s="115">
        <v>28963</v>
      </c>
      <c r="T78" s="171">
        <v>2729</v>
      </c>
      <c r="U78" s="172">
        <v>87131</v>
      </c>
    </row>
    <row r="79" spans="1:21" s="120" customFormat="1" x14ac:dyDescent="0.3">
      <c r="A79" s="130">
        <v>10</v>
      </c>
      <c r="B79" s="123"/>
      <c r="C79" s="124"/>
      <c r="D79" s="125" t="s">
        <v>44</v>
      </c>
      <c r="E79" s="133">
        <v>9058</v>
      </c>
      <c r="F79" s="136">
        <v>4883</v>
      </c>
      <c r="G79" s="133">
        <v>3688</v>
      </c>
      <c r="H79" s="133">
        <v>4475</v>
      </c>
      <c r="I79" s="133">
        <v>748</v>
      </c>
      <c r="J79" s="137">
        <v>5800</v>
      </c>
      <c r="K79" s="136">
        <v>609</v>
      </c>
      <c r="L79" s="135" t="s">
        <v>15</v>
      </c>
      <c r="M79" s="135" t="s">
        <v>15</v>
      </c>
      <c r="N79" s="135">
        <v>7</v>
      </c>
      <c r="O79" s="135">
        <v>0</v>
      </c>
      <c r="P79" s="100">
        <v>0</v>
      </c>
      <c r="Q79" s="104">
        <v>0</v>
      </c>
      <c r="R79" s="114">
        <v>3125</v>
      </c>
      <c r="S79" s="115">
        <v>305</v>
      </c>
      <c r="T79" s="115">
        <v>3639</v>
      </c>
      <c r="U79" s="115">
        <v>330</v>
      </c>
    </row>
    <row r="80" spans="1:21" s="120" customFormat="1" x14ac:dyDescent="0.3">
      <c r="A80" s="130">
        <v>11</v>
      </c>
      <c r="B80" s="123"/>
      <c r="C80" s="124"/>
      <c r="D80" s="125" t="s">
        <v>45</v>
      </c>
      <c r="E80" s="126">
        <v>21591</v>
      </c>
      <c r="F80" s="127">
        <v>17113</v>
      </c>
      <c r="G80" s="126">
        <v>13384</v>
      </c>
      <c r="H80" s="126">
        <v>1128</v>
      </c>
      <c r="I80" s="126">
        <v>8466</v>
      </c>
      <c r="J80" s="128">
        <v>747</v>
      </c>
      <c r="K80" s="127">
        <v>6883</v>
      </c>
      <c r="L80" s="70">
        <v>79</v>
      </c>
      <c r="M80" s="69">
        <v>1329</v>
      </c>
      <c r="N80" s="70">
        <v>0</v>
      </c>
      <c r="O80" s="69">
        <v>0</v>
      </c>
      <c r="P80" s="100">
        <v>666</v>
      </c>
      <c r="Q80" s="104">
        <v>4666</v>
      </c>
      <c r="R80" s="114">
        <v>573</v>
      </c>
      <c r="S80" s="115">
        <v>6525</v>
      </c>
      <c r="T80" s="171">
        <v>1011</v>
      </c>
      <c r="U80" s="172">
        <v>3865</v>
      </c>
    </row>
    <row r="81" spans="1:21" s="120" customFormat="1" x14ac:dyDescent="0.3">
      <c r="A81" s="130">
        <v>12</v>
      </c>
      <c r="B81" s="123"/>
      <c r="C81" s="124"/>
      <c r="D81" s="125" t="s">
        <v>46</v>
      </c>
      <c r="E81" s="126">
        <v>2393</v>
      </c>
      <c r="F81" s="127">
        <v>3166</v>
      </c>
      <c r="G81" s="126">
        <v>3684</v>
      </c>
      <c r="H81" s="126">
        <v>1796</v>
      </c>
      <c r="I81" s="126">
        <v>1420</v>
      </c>
      <c r="J81" s="128">
        <v>1320</v>
      </c>
      <c r="K81" s="127">
        <v>1285</v>
      </c>
      <c r="L81" s="70">
        <v>174</v>
      </c>
      <c r="M81" s="69">
        <v>196</v>
      </c>
      <c r="N81" s="70">
        <v>0</v>
      </c>
      <c r="O81" s="69">
        <v>0</v>
      </c>
      <c r="P81" s="100">
        <v>0</v>
      </c>
      <c r="Q81" s="104">
        <v>0</v>
      </c>
      <c r="R81" s="114">
        <v>102</v>
      </c>
      <c r="S81" s="115">
        <v>480</v>
      </c>
      <c r="T81" s="158">
        <v>382</v>
      </c>
      <c r="U81" s="159">
        <v>760</v>
      </c>
    </row>
    <row r="82" spans="1:21" s="120" customFormat="1" x14ac:dyDescent="0.3">
      <c r="A82" s="130">
        <v>13</v>
      </c>
      <c r="B82" s="123"/>
      <c r="C82" s="124"/>
      <c r="D82" s="125" t="s">
        <v>47</v>
      </c>
      <c r="E82" s="126">
        <v>27913</v>
      </c>
      <c r="F82" s="127">
        <v>26549</v>
      </c>
      <c r="G82" s="126">
        <v>28323</v>
      </c>
      <c r="H82" s="126">
        <v>915</v>
      </c>
      <c r="I82" s="126">
        <v>23109</v>
      </c>
      <c r="J82" s="128">
        <v>621</v>
      </c>
      <c r="K82" s="127">
        <v>20817</v>
      </c>
      <c r="L82" s="70">
        <v>88</v>
      </c>
      <c r="M82" s="69">
        <v>3659</v>
      </c>
      <c r="N82" s="70">
        <v>231</v>
      </c>
      <c r="O82" s="69">
        <v>0</v>
      </c>
      <c r="P82" s="100">
        <v>0</v>
      </c>
      <c r="Q82" s="104">
        <v>0</v>
      </c>
      <c r="R82" s="114">
        <v>0</v>
      </c>
      <c r="S82" s="115">
        <v>1259</v>
      </c>
      <c r="T82" s="158">
        <v>172</v>
      </c>
      <c r="U82" s="172">
        <v>6200</v>
      </c>
    </row>
    <row r="83" spans="1:21" s="120" customFormat="1" x14ac:dyDescent="0.3">
      <c r="A83" s="130">
        <v>14</v>
      </c>
      <c r="B83" s="123"/>
      <c r="C83" s="124"/>
      <c r="D83" s="125" t="s">
        <v>48</v>
      </c>
      <c r="E83" s="126">
        <v>209583</v>
      </c>
      <c r="F83" s="127">
        <v>256463</v>
      </c>
      <c r="G83" s="126">
        <v>341310</v>
      </c>
      <c r="H83" s="126">
        <v>221509</v>
      </c>
      <c r="I83" s="126">
        <v>167804</v>
      </c>
      <c r="J83" s="128">
        <v>202246</v>
      </c>
      <c r="K83" s="127">
        <v>196069</v>
      </c>
      <c r="L83" s="70">
        <v>27238</v>
      </c>
      <c r="M83" s="69">
        <v>28917</v>
      </c>
      <c r="N83" s="70">
        <v>24783</v>
      </c>
      <c r="O83" s="69">
        <v>26079</v>
      </c>
      <c r="P83" s="100">
        <v>60890</v>
      </c>
      <c r="Q83" s="104">
        <v>221377</v>
      </c>
      <c r="R83" s="114">
        <v>31552</v>
      </c>
      <c r="S83" s="115">
        <v>20504</v>
      </c>
      <c r="T83" s="171">
        <v>84908</v>
      </c>
      <c r="U83" s="172">
        <v>127698</v>
      </c>
    </row>
    <row r="84" spans="1:21" x14ac:dyDescent="0.3">
      <c r="A84" s="130">
        <v>15</v>
      </c>
      <c r="B84" s="123"/>
      <c r="C84" s="124"/>
      <c r="D84" s="125" t="s">
        <v>49</v>
      </c>
      <c r="E84" s="126">
        <v>11219</v>
      </c>
      <c r="F84" s="127">
        <v>16416</v>
      </c>
      <c r="G84" s="126">
        <v>25202</v>
      </c>
      <c r="H84" s="126">
        <v>3392</v>
      </c>
      <c r="I84" s="126">
        <v>9272</v>
      </c>
      <c r="J84" s="128">
        <v>10018</v>
      </c>
      <c r="K84" s="127">
        <v>4559</v>
      </c>
      <c r="L84" s="135" t="s">
        <v>15</v>
      </c>
      <c r="M84" s="135" t="s">
        <v>15</v>
      </c>
      <c r="N84" s="135">
        <v>0</v>
      </c>
      <c r="O84" s="135">
        <v>0</v>
      </c>
      <c r="P84" s="100"/>
      <c r="Q84" s="104"/>
      <c r="R84" s="114">
        <v>0</v>
      </c>
      <c r="S84" s="115">
        <v>0</v>
      </c>
      <c r="T84" s="115">
        <v>0</v>
      </c>
      <c r="U84" s="115">
        <v>0</v>
      </c>
    </row>
    <row r="85" spans="1:21" s="120" customFormat="1" x14ac:dyDescent="0.3">
      <c r="A85" s="130">
        <v>16</v>
      </c>
      <c r="B85" s="123"/>
      <c r="C85" s="124"/>
      <c r="D85" s="125" t="s">
        <v>50</v>
      </c>
      <c r="E85" s="126">
        <v>293728</v>
      </c>
      <c r="F85" s="127">
        <v>308894</v>
      </c>
      <c r="G85" s="126">
        <v>391037</v>
      </c>
      <c r="H85" s="126">
        <v>216886</v>
      </c>
      <c r="I85" s="126">
        <v>233629</v>
      </c>
      <c r="J85" s="128">
        <v>175531</v>
      </c>
      <c r="K85" s="127">
        <v>221679</v>
      </c>
      <c r="L85" s="70">
        <v>26989</v>
      </c>
      <c r="M85" s="69">
        <v>36236</v>
      </c>
      <c r="N85" s="70">
        <v>65807</v>
      </c>
      <c r="O85" s="69">
        <v>2096</v>
      </c>
      <c r="P85" s="100">
        <v>194333</v>
      </c>
      <c r="Q85" s="104">
        <v>73529</v>
      </c>
      <c r="R85" s="114">
        <v>152643</v>
      </c>
      <c r="S85" s="115">
        <v>109077</v>
      </c>
      <c r="T85" s="171">
        <v>113930</v>
      </c>
      <c r="U85" s="172">
        <v>111239</v>
      </c>
    </row>
    <row r="86" spans="1:21" x14ac:dyDescent="0.3">
      <c r="A86" s="130">
        <v>17</v>
      </c>
      <c r="B86" s="123"/>
      <c r="C86" s="124"/>
      <c r="D86" s="125" t="s">
        <v>51</v>
      </c>
      <c r="E86" s="133" t="s">
        <v>15</v>
      </c>
      <c r="F86" s="136" t="s">
        <v>15</v>
      </c>
      <c r="G86" s="134" t="s">
        <v>15</v>
      </c>
      <c r="H86" s="133" t="s">
        <v>15</v>
      </c>
      <c r="I86" s="134" t="s">
        <v>15</v>
      </c>
      <c r="J86" s="131" t="s">
        <v>15</v>
      </c>
      <c r="K86" s="132" t="s">
        <v>15</v>
      </c>
      <c r="L86" s="135" t="s">
        <v>15</v>
      </c>
      <c r="M86" s="135" t="s">
        <v>15</v>
      </c>
      <c r="N86" s="135">
        <v>0</v>
      </c>
      <c r="O86" s="135">
        <v>0</v>
      </c>
      <c r="P86" s="100"/>
      <c r="Q86" s="104"/>
      <c r="R86" s="114">
        <v>0</v>
      </c>
      <c r="S86" s="115">
        <v>0</v>
      </c>
      <c r="T86" s="115">
        <v>0</v>
      </c>
      <c r="U86" s="115">
        <v>0</v>
      </c>
    </row>
    <row r="87" spans="1:21" s="120" customFormat="1" x14ac:dyDescent="0.3">
      <c r="A87" s="130">
        <v>18</v>
      </c>
      <c r="B87" s="123"/>
      <c r="C87" s="124"/>
      <c r="D87" s="125" t="s">
        <v>52</v>
      </c>
      <c r="E87" s="126">
        <v>42468</v>
      </c>
      <c r="F87" s="127">
        <v>43710</v>
      </c>
      <c r="G87" s="126">
        <v>36956</v>
      </c>
      <c r="H87" s="126">
        <v>12864</v>
      </c>
      <c r="I87" s="126">
        <v>19580</v>
      </c>
      <c r="J87" s="128">
        <v>8046</v>
      </c>
      <c r="K87" s="127">
        <v>16043</v>
      </c>
      <c r="L87" s="70">
        <v>928</v>
      </c>
      <c r="M87" s="69">
        <v>2653</v>
      </c>
      <c r="N87" s="70">
        <v>0</v>
      </c>
      <c r="O87" s="69">
        <v>0</v>
      </c>
      <c r="P87" s="100">
        <v>560</v>
      </c>
      <c r="Q87" s="104">
        <v>379</v>
      </c>
      <c r="R87" s="114">
        <v>518</v>
      </c>
      <c r="S87" s="115">
        <v>431</v>
      </c>
      <c r="T87" s="158">
        <v>510</v>
      </c>
      <c r="U87" s="159">
        <v>428</v>
      </c>
    </row>
    <row r="88" spans="1:21" s="120" customFormat="1" x14ac:dyDescent="0.3">
      <c r="A88" s="130">
        <v>19</v>
      </c>
      <c r="B88" s="123"/>
      <c r="C88" s="124"/>
      <c r="D88" s="125" t="s">
        <v>53</v>
      </c>
      <c r="E88" s="133">
        <v>38263</v>
      </c>
      <c r="F88" s="136">
        <v>39145</v>
      </c>
      <c r="G88" s="133">
        <v>30621</v>
      </c>
      <c r="H88" s="133" t="s">
        <v>15</v>
      </c>
      <c r="I88" s="133">
        <v>22743</v>
      </c>
      <c r="J88" s="131" t="s">
        <v>15</v>
      </c>
      <c r="K88" s="136">
        <v>27929</v>
      </c>
      <c r="L88" s="135" t="s">
        <v>15</v>
      </c>
      <c r="M88" s="135" t="s">
        <v>15</v>
      </c>
      <c r="N88" s="135">
        <v>0</v>
      </c>
      <c r="O88" s="135"/>
      <c r="P88" s="100">
        <v>0</v>
      </c>
      <c r="Q88" s="104">
        <v>0</v>
      </c>
      <c r="R88" s="114">
        <v>444</v>
      </c>
      <c r="S88" s="115">
        <v>5812</v>
      </c>
      <c r="T88" s="171">
        <v>14979</v>
      </c>
      <c r="U88" s="172">
        <v>35388</v>
      </c>
    </row>
    <row r="89" spans="1:21" s="120" customFormat="1" x14ac:dyDescent="0.3">
      <c r="A89" s="130">
        <v>20</v>
      </c>
      <c r="B89" s="123"/>
      <c r="C89" s="124"/>
      <c r="D89" s="125" t="s">
        <v>54</v>
      </c>
      <c r="E89" s="133">
        <v>46627</v>
      </c>
      <c r="F89" s="136">
        <v>56768</v>
      </c>
      <c r="G89" s="133">
        <v>42661</v>
      </c>
      <c r="H89" s="133">
        <v>1592</v>
      </c>
      <c r="I89" s="133">
        <v>40314</v>
      </c>
      <c r="J89" s="137">
        <v>1893</v>
      </c>
      <c r="K89" s="136">
        <v>31853</v>
      </c>
      <c r="L89" s="70">
        <v>1064</v>
      </c>
      <c r="M89" s="69">
        <v>6380</v>
      </c>
      <c r="N89" s="70">
        <v>0</v>
      </c>
      <c r="O89" s="69">
        <v>0</v>
      </c>
      <c r="P89" s="100">
        <v>1490</v>
      </c>
      <c r="Q89" s="104">
        <v>10045</v>
      </c>
      <c r="R89" s="114">
        <v>1130</v>
      </c>
      <c r="S89" s="115">
        <v>14900</v>
      </c>
      <c r="T89" s="171">
        <v>1027</v>
      </c>
      <c r="U89" s="172">
        <v>19694</v>
      </c>
    </row>
    <row r="90" spans="1:21" x14ac:dyDescent="0.3">
      <c r="A90" s="130">
        <v>21</v>
      </c>
      <c r="B90" s="123"/>
      <c r="C90" s="124"/>
      <c r="D90" s="125" t="s">
        <v>55</v>
      </c>
      <c r="E90" s="134">
        <v>90247</v>
      </c>
      <c r="F90" s="127">
        <v>38013</v>
      </c>
      <c r="G90" s="126">
        <v>37631</v>
      </c>
      <c r="H90" s="126">
        <v>21472</v>
      </c>
      <c r="I90" s="126">
        <v>8856</v>
      </c>
      <c r="J90" s="128">
        <v>8690</v>
      </c>
      <c r="K90" s="127">
        <v>4073</v>
      </c>
      <c r="L90" s="135" t="s">
        <v>15</v>
      </c>
      <c r="M90" s="135" t="s">
        <v>15</v>
      </c>
      <c r="N90" s="135">
        <v>0</v>
      </c>
      <c r="O90" s="135">
        <v>0</v>
      </c>
      <c r="P90" s="100"/>
      <c r="Q90" s="104"/>
      <c r="R90" s="114">
        <v>0</v>
      </c>
      <c r="S90" s="115">
        <v>0</v>
      </c>
      <c r="T90" s="115">
        <v>0</v>
      </c>
      <c r="U90" s="115">
        <v>0</v>
      </c>
    </row>
    <row r="91" spans="1:21" s="120" customFormat="1" x14ac:dyDescent="0.3">
      <c r="A91" s="130">
        <v>22</v>
      </c>
      <c r="B91" s="123"/>
      <c r="C91" s="124"/>
      <c r="D91" s="125" t="s">
        <v>56</v>
      </c>
      <c r="E91" s="134" t="s">
        <v>15</v>
      </c>
      <c r="F91" s="136">
        <v>207275</v>
      </c>
      <c r="G91" s="133">
        <v>80600</v>
      </c>
      <c r="H91" s="133">
        <v>15291</v>
      </c>
      <c r="I91" s="133">
        <v>413016</v>
      </c>
      <c r="J91" s="137">
        <v>19535</v>
      </c>
      <c r="K91" s="136">
        <v>477142</v>
      </c>
      <c r="L91" s="70">
        <v>41075</v>
      </c>
      <c r="M91" s="69">
        <v>67530</v>
      </c>
      <c r="N91" s="70">
        <v>0</v>
      </c>
      <c r="O91" s="69">
        <v>0</v>
      </c>
      <c r="P91" s="100">
        <v>0</v>
      </c>
      <c r="Q91" s="104">
        <v>0</v>
      </c>
      <c r="R91" s="114">
        <v>10206</v>
      </c>
      <c r="S91" s="115">
        <v>225932</v>
      </c>
      <c r="T91" s="171">
        <v>22117</v>
      </c>
      <c r="U91" s="172">
        <v>412559</v>
      </c>
    </row>
    <row r="92" spans="1:21" s="120" customFormat="1" x14ac:dyDescent="0.3">
      <c r="A92" s="130">
        <v>23</v>
      </c>
      <c r="B92" s="123"/>
      <c r="C92" s="124"/>
      <c r="D92" s="125" t="s">
        <v>57</v>
      </c>
      <c r="E92" s="134" t="s">
        <v>15</v>
      </c>
      <c r="F92" s="127">
        <v>4975</v>
      </c>
      <c r="G92" s="134" t="s">
        <v>15</v>
      </c>
      <c r="H92" s="134" t="s">
        <v>15</v>
      </c>
      <c r="I92" s="134" t="s">
        <v>15</v>
      </c>
      <c r="J92" s="131">
        <v>34529</v>
      </c>
      <c r="K92" s="132">
        <v>144480</v>
      </c>
      <c r="L92" s="135" t="s">
        <v>15</v>
      </c>
      <c r="M92" s="135" t="s">
        <v>15</v>
      </c>
      <c r="N92" s="135">
        <v>0</v>
      </c>
      <c r="O92" s="135">
        <v>0</v>
      </c>
      <c r="P92" s="100">
        <v>0</v>
      </c>
      <c r="Q92" s="104">
        <v>0</v>
      </c>
      <c r="R92" s="114">
        <v>966</v>
      </c>
      <c r="S92" s="115">
        <v>2888</v>
      </c>
      <c r="T92" s="171">
        <v>4419</v>
      </c>
      <c r="U92" s="172">
        <v>6749</v>
      </c>
    </row>
    <row r="93" spans="1:21" s="120" customFormat="1" x14ac:dyDescent="0.3">
      <c r="A93" s="130">
        <v>24</v>
      </c>
      <c r="B93" s="123"/>
      <c r="C93" s="124"/>
      <c r="D93" s="125" t="s">
        <v>211</v>
      </c>
      <c r="E93" s="134" t="s">
        <v>15</v>
      </c>
      <c r="F93" s="134" t="s">
        <v>15</v>
      </c>
      <c r="G93" s="134" t="s">
        <v>15</v>
      </c>
      <c r="H93" s="134" t="s">
        <v>15</v>
      </c>
      <c r="I93" s="134" t="s">
        <v>15</v>
      </c>
      <c r="J93" s="134" t="s">
        <v>15</v>
      </c>
      <c r="K93" s="134" t="s">
        <v>15</v>
      </c>
      <c r="L93" s="134" t="s">
        <v>15</v>
      </c>
      <c r="M93" s="134" t="s">
        <v>15</v>
      </c>
      <c r="N93" s="70">
        <v>229</v>
      </c>
      <c r="O93" s="69">
        <v>173</v>
      </c>
      <c r="P93" s="100">
        <v>386</v>
      </c>
      <c r="Q93" s="104">
        <v>450</v>
      </c>
      <c r="R93" s="114">
        <v>350</v>
      </c>
      <c r="S93" s="115">
        <v>1059</v>
      </c>
      <c r="T93" s="158">
        <v>427</v>
      </c>
      <c r="U93" s="172">
        <v>1390</v>
      </c>
    </row>
    <row r="94" spans="1:21" s="120" customFormat="1" x14ac:dyDescent="0.3">
      <c r="A94" s="130">
        <v>25</v>
      </c>
      <c r="B94" s="123"/>
      <c r="C94" s="124"/>
      <c r="D94" s="125" t="s">
        <v>212</v>
      </c>
      <c r="E94" s="134" t="s">
        <v>15</v>
      </c>
      <c r="F94" s="134" t="s">
        <v>15</v>
      </c>
      <c r="G94" s="134" t="s">
        <v>15</v>
      </c>
      <c r="H94" s="134" t="s">
        <v>15</v>
      </c>
      <c r="I94" s="134" t="s">
        <v>15</v>
      </c>
      <c r="J94" s="134" t="s">
        <v>15</v>
      </c>
      <c r="K94" s="134" t="s">
        <v>15</v>
      </c>
      <c r="L94" s="134" t="s">
        <v>15</v>
      </c>
      <c r="M94" s="134" t="s">
        <v>15</v>
      </c>
      <c r="N94" s="70">
        <v>418</v>
      </c>
      <c r="O94" s="69">
        <v>28</v>
      </c>
      <c r="P94" s="100">
        <v>960</v>
      </c>
      <c r="Q94" s="104">
        <v>5568</v>
      </c>
      <c r="R94" s="114">
        <v>2057</v>
      </c>
      <c r="S94" s="115">
        <v>22051</v>
      </c>
      <c r="T94" s="171">
        <v>1877</v>
      </c>
      <c r="U94" s="172">
        <v>31991</v>
      </c>
    </row>
    <row r="95" spans="1:21" s="120" customFormat="1" x14ac:dyDescent="0.3">
      <c r="A95" s="130">
        <v>26</v>
      </c>
      <c r="B95" s="123"/>
      <c r="C95" s="124"/>
      <c r="D95" s="125" t="s">
        <v>213</v>
      </c>
      <c r="E95" s="134" t="s">
        <v>15</v>
      </c>
      <c r="F95" s="134" t="s">
        <v>15</v>
      </c>
      <c r="G95" s="134" t="s">
        <v>15</v>
      </c>
      <c r="H95" s="134" t="s">
        <v>15</v>
      </c>
      <c r="I95" s="134" t="s">
        <v>15</v>
      </c>
      <c r="J95" s="134" t="s">
        <v>15</v>
      </c>
      <c r="K95" s="134" t="s">
        <v>15</v>
      </c>
      <c r="L95" s="134" t="s">
        <v>15</v>
      </c>
      <c r="M95" s="134" t="s">
        <v>15</v>
      </c>
      <c r="N95" s="70">
        <v>0</v>
      </c>
      <c r="O95" s="69">
        <v>0</v>
      </c>
      <c r="P95" s="100">
        <v>0</v>
      </c>
      <c r="Q95" s="104">
        <v>0</v>
      </c>
      <c r="R95" s="114">
        <v>259</v>
      </c>
      <c r="S95" s="115">
        <v>3216</v>
      </c>
      <c r="T95" s="171">
        <v>1418</v>
      </c>
      <c r="U95" s="172">
        <v>5443</v>
      </c>
    </row>
    <row r="96" spans="1:21" s="120" customFormat="1" x14ac:dyDescent="0.3">
      <c r="A96" s="130">
        <v>27</v>
      </c>
      <c r="B96" s="123"/>
      <c r="C96" s="124"/>
      <c r="D96" s="125" t="s">
        <v>214</v>
      </c>
      <c r="E96" s="134" t="s">
        <v>15</v>
      </c>
      <c r="F96" s="134" t="s">
        <v>15</v>
      </c>
      <c r="G96" s="134" t="s">
        <v>15</v>
      </c>
      <c r="H96" s="134" t="s">
        <v>15</v>
      </c>
      <c r="I96" s="134" t="s">
        <v>15</v>
      </c>
      <c r="J96" s="134" t="s">
        <v>15</v>
      </c>
      <c r="K96" s="134" t="s">
        <v>15</v>
      </c>
      <c r="L96" s="134" t="s">
        <v>15</v>
      </c>
      <c r="M96" s="134" t="s">
        <v>15</v>
      </c>
      <c r="N96" s="138">
        <v>0</v>
      </c>
      <c r="O96" s="135">
        <v>0</v>
      </c>
      <c r="P96" s="100">
        <v>0</v>
      </c>
      <c r="Q96" s="104">
        <v>0</v>
      </c>
      <c r="R96" s="114">
        <v>0</v>
      </c>
      <c r="S96" s="115">
        <v>145083</v>
      </c>
      <c r="T96" s="115">
        <v>0</v>
      </c>
      <c r="U96" s="172">
        <v>78746</v>
      </c>
    </row>
    <row r="97" spans="1:21" s="120" customFormat="1" x14ac:dyDescent="0.3">
      <c r="A97" s="130">
        <v>28</v>
      </c>
      <c r="B97" s="123"/>
      <c r="C97" s="124"/>
      <c r="D97" s="125" t="s">
        <v>250</v>
      </c>
      <c r="E97" s="134" t="s">
        <v>15</v>
      </c>
      <c r="F97" s="134" t="s">
        <v>15</v>
      </c>
      <c r="G97" s="134" t="s">
        <v>15</v>
      </c>
      <c r="H97" s="134" t="s">
        <v>15</v>
      </c>
      <c r="I97" s="134" t="s">
        <v>15</v>
      </c>
      <c r="J97" s="134" t="s">
        <v>15</v>
      </c>
      <c r="K97" s="134" t="s">
        <v>15</v>
      </c>
      <c r="L97" s="134" t="s">
        <v>15</v>
      </c>
      <c r="M97" s="134" t="s">
        <v>15</v>
      </c>
      <c r="N97" s="138">
        <v>0</v>
      </c>
      <c r="O97" s="135">
        <v>0</v>
      </c>
      <c r="P97" s="100">
        <v>43</v>
      </c>
      <c r="Q97" s="104">
        <v>162</v>
      </c>
      <c r="R97" s="114">
        <v>590</v>
      </c>
      <c r="S97" s="115">
        <v>1674</v>
      </c>
      <c r="T97" s="171">
        <v>605</v>
      </c>
      <c r="U97" s="172">
        <v>2290</v>
      </c>
    </row>
    <row r="98" spans="1:21" x14ac:dyDescent="0.3">
      <c r="A98" s="18"/>
      <c r="B98" s="32"/>
      <c r="C98" s="28" t="s">
        <v>25</v>
      </c>
      <c r="D98" s="31"/>
      <c r="E98" s="29">
        <f t="shared" ref="E98:O98" si="7">SUM(E71:E96)</f>
        <v>1917440</v>
      </c>
      <c r="F98" s="60">
        <f t="shared" si="7"/>
        <v>2953116</v>
      </c>
      <c r="G98" s="29">
        <f t="shared" si="7"/>
        <v>3841875</v>
      </c>
      <c r="H98" s="29">
        <f t="shared" si="7"/>
        <v>794964</v>
      </c>
      <c r="I98" s="29">
        <f t="shared" si="7"/>
        <v>3755760</v>
      </c>
      <c r="J98" s="87">
        <f t="shared" si="7"/>
        <v>717021</v>
      </c>
      <c r="K98" s="60">
        <f t="shared" si="7"/>
        <v>4320438</v>
      </c>
      <c r="L98" s="60">
        <f t="shared" si="7"/>
        <v>155649</v>
      </c>
      <c r="M98" s="29">
        <f t="shared" si="7"/>
        <v>373048</v>
      </c>
      <c r="N98" s="60">
        <f t="shared" si="7"/>
        <v>143323</v>
      </c>
      <c r="O98" s="29">
        <f t="shared" si="7"/>
        <v>35092</v>
      </c>
      <c r="P98" s="101">
        <f t="shared" ref="P98:U98" si="8">SUM(P71:P97)</f>
        <v>397950</v>
      </c>
      <c r="Q98" s="106">
        <f t="shared" si="8"/>
        <v>810902</v>
      </c>
      <c r="R98" s="117">
        <f t="shared" si="8"/>
        <v>358056</v>
      </c>
      <c r="S98" s="116">
        <f t="shared" si="8"/>
        <v>2490344</v>
      </c>
      <c r="T98" s="117">
        <f t="shared" si="8"/>
        <v>480589</v>
      </c>
      <c r="U98" s="116">
        <f t="shared" si="8"/>
        <v>3116953</v>
      </c>
    </row>
    <row r="99" spans="1:21" x14ac:dyDescent="0.3">
      <c r="A99" s="18" t="s">
        <v>58</v>
      </c>
      <c r="B99" s="19"/>
      <c r="C99" s="1" t="s">
        <v>59</v>
      </c>
      <c r="D99" s="14"/>
      <c r="E99" s="15"/>
      <c r="F99" s="61"/>
      <c r="G99" s="15"/>
      <c r="H99" s="15"/>
      <c r="I99" s="15"/>
      <c r="J99" s="38"/>
      <c r="K99" s="61"/>
      <c r="L99" s="70"/>
      <c r="M99" s="69"/>
      <c r="N99" s="70"/>
      <c r="O99" s="69"/>
      <c r="P99" s="100"/>
      <c r="Q99" s="104"/>
      <c r="R99" s="158"/>
      <c r="S99" s="115"/>
      <c r="T99" s="112"/>
      <c r="U99" s="107"/>
    </row>
    <row r="100" spans="1:21" x14ac:dyDescent="0.3">
      <c r="A100" s="8">
        <v>1</v>
      </c>
      <c r="B100" s="12"/>
      <c r="C100" s="13"/>
      <c r="D100" s="14" t="s">
        <v>60</v>
      </c>
      <c r="E100" s="15">
        <v>1050</v>
      </c>
      <c r="F100" s="61">
        <v>1388</v>
      </c>
      <c r="G100" s="15">
        <v>1012</v>
      </c>
      <c r="H100" s="15">
        <v>46</v>
      </c>
      <c r="I100" s="15">
        <v>905</v>
      </c>
      <c r="J100" s="38">
        <v>97</v>
      </c>
      <c r="K100" s="61">
        <v>949</v>
      </c>
      <c r="L100" s="70">
        <v>10</v>
      </c>
      <c r="M100" s="69">
        <v>95</v>
      </c>
      <c r="N100" s="70">
        <v>8</v>
      </c>
      <c r="O100" s="69">
        <v>12</v>
      </c>
      <c r="P100" s="100">
        <v>0</v>
      </c>
      <c r="Q100" s="104">
        <v>0</v>
      </c>
      <c r="R100" s="114">
        <v>16</v>
      </c>
      <c r="S100" s="115">
        <v>726</v>
      </c>
      <c r="T100" s="112">
        <v>46</v>
      </c>
      <c r="U100" s="107">
        <v>675</v>
      </c>
    </row>
    <row r="101" spans="1:21" x14ac:dyDescent="0.3">
      <c r="A101" s="8">
        <v>2</v>
      </c>
      <c r="B101" s="12"/>
      <c r="C101" s="13"/>
      <c r="D101" s="14" t="s">
        <v>61</v>
      </c>
      <c r="E101" s="23">
        <v>18395</v>
      </c>
      <c r="F101" s="61">
        <v>18561</v>
      </c>
      <c r="G101" s="15">
        <v>25953</v>
      </c>
      <c r="H101" s="25" t="s">
        <v>15</v>
      </c>
      <c r="I101" s="15">
        <v>24760</v>
      </c>
      <c r="J101" s="88">
        <v>278</v>
      </c>
      <c r="K101" s="61">
        <v>19124</v>
      </c>
      <c r="L101" s="70">
        <v>24</v>
      </c>
      <c r="M101" s="69">
        <v>1899</v>
      </c>
      <c r="N101" s="70">
        <v>0</v>
      </c>
      <c r="O101" s="69">
        <v>0</v>
      </c>
      <c r="P101" s="100">
        <v>265</v>
      </c>
      <c r="Q101" s="104">
        <v>8275</v>
      </c>
      <c r="R101" s="114">
        <v>203</v>
      </c>
      <c r="S101" s="115">
        <v>14831</v>
      </c>
      <c r="T101" s="112">
        <v>200</v>
      </c>
      <c r="U101" s="170">
        <v>32314</v>
      </c>
    </row>
    <row r="102" spans="1:21" x14ac:dyDescent="0.3">
      <c r="A102" s="8">
        <v>3</v>
      </c>
      <c r="B102" s="12"/>
      <c r="C102" s="13"/>
      <c r="D102" s="14" t="s">
        <v>62</v>
      </c>
      <c r="E102" s="15">
        <v>473010</v>
      </c>
      <c r="F102" s="61">
        <v>491661</v>
      </c>
      <c r="G102" s="15">
        <v>542724</v>
      </c>
      <c r="H102" s="15">
        <v>100777</v>
      </c>
      <c r="I102" s="15">
        <v>319523</v>
      </c>
      <c r="J102" s="38">
        <v>160719</v>
      </c>
      <c r="K102" s="61">
        <v>780691</v>
      </c>
      <c r="L102" s="70">
        <v>34763</v>
      </c>
      <c r="M102" s="69">
        <v>114597</v>
      </c>
      <c r="N102" s="70">
        <v>21850</v>
      </c>
      <c r="O102" s="69">
        <v>667</v>
      </c>
      <c r="P102" s="100">
        <v>359143</v>
      </c>
      <c r="Q102" s="104">
        <v>185524</v>
      </c>
      <c r="R102" s="114">
        <v>355712</v>
      </c>
      <c r="S102" s="115">
        <v>409252</v>
      </c>
      <c r="T102" s="169">
        <v>332091</v>
      </c>
      <c r="U102" s="170">
        <v>275119</v>
      </c>
    </row>
    <row r="103" spans="1:21" x14ac:dyDescent="0.3">
      <c r="A103" s="8">
        <v>4</v>
      </c>
      <c r="B103" s="12"/>
      <c r="C103" s="13"/>
      <c r="D103" s="14" t="s">
        <v>63</v>
      </c>
      <c r="E103" s="15">
        <v>12081</v>
      </c>
      <c r="F103" s="61">
        <v>12989</v>
      </c>
      <c r="G103" s="15">
        <v>11866</v>
      </c>
      <c r="H103" s="15">
        <v>7441</v>
      </c>
      <c r="I103" s="15">
        <v>1922</v>
      </c>
      <c r="J103" s="38">
        <v>6049</v>
      </c>
      <c r="K103" s="61">
        <v>1505</v>
      </c>
      <c r="L103" s="70">
        <v>1101</v>
      </c>
      <c r="M103" s="69">
        <v>242</v>
      </c>
      <c r="N103" s="70">
        <v>876</v>
      </c>
      <c r="O103" s="69">
        <v>8</v>
      </c>
      <c r="P103" s="100">
        <v>502</v>
      </c>
      <c r="Q103" s="104">
        <v>60</v>
      </c>
      <c r="R103" s="114">
        <v>2399</v>
      </c>
      <c r="S103" s="115">
        <v>505</v>
      </c>
      <c r="T103" s="169">
        <v>1493</v>
      </c>
      <c r="U103" s="107">
        <v>815</v>
      </c>
    </row>
    <row r="104" spans="1:21" x14ac:dyDescent="0.3">
      <c r="A104" s="8">
        <v>5</v>
      </c>
      <c r="B104" s="12"/>
      <c r="C104" s="13"/>
      <c r="D104" s="14" t="s">
        <v>64</v>
      </c>
      <c r="E104" s="15">
        <v>49951</v>
      </c>
      <c r="F104" s="61">
        <v>123133</v>
      </c>
      <c r="G104" s="15">
        <v>209267</v>
      </c>
      <c r="H104" s="15">
        <v>196071</v>
      </c>
      <c r="I104" s="15">
        <v>51565</v>
      </c>
      <c r="J104" s="38">
        <v>202247</v>
      </c>
      <c r="K104" s="61">
        <v>58914</v>
      </c>
      <c r="L104" s="70">
        <v>29803</v>
      </c>
      <c r="M104" s="69">
        <v>5731</v>
      </c>
      <c r="N104" s="70">
        <v>146180</v>
      </c>
      <c r="O104" s="69">
        <v>565</v>
      </c>
      <c r="P104" s="100">
        <v>564383</v>
      </c>
      <c r="Q104" s="104">
        <v>43749</v>
      </c>
      <c r="R104" s="114">
        <v>789315</v>
      </c>
      <c r="S104" s="115">
        <v>112461</v>
      </c>
      <c r="T104" s="169">
        <v>1022971</v>
      </c>
      <c r="U104" s="170">
        <v>152160</v>
      </c>
    </row>
    <row r="105" spans="1:21" x14ac:dyDescent="0.3">
      <c r="A105" s="8">
        <v>6</v>
      </c>
      <c r="B105" s="12"/>
      <c r="C105" s="13"/>
      <c r="D105" s="14" t="s">
        <v>65</v>
      </c>
      <c r="E105" s="23">
        <v>55862</v>
      </c>
      <c r="F105" s="61">
        <v>46851</v>
      </c>
      <c r="G105" s="25" t="s">
        <v>15</v>
      </c>
      <c r="H105" s="25" t="s">
        <v>15</v>
      </c>
      <c r="I105" s="25" t="s">
        <v>15</v>
      </c>
      <c r="J105" s="88" t="s">
        <v>15</v>
      </c>
      <c r="K105" s="62" t="s">
        <v>15</v>
      </c>
      <c r="L105" s="71" t="s">
        <v>15</v>
      </c>
      <c r="M105" s="71" t="s">
        <v>15</v>
      </c>
      <c r="N105" s="71">
        <v>0</v>
      </c>
      <c r="O105" s="71">
        <v>0</v>
      </c>
      <c r="P105" s="100">
        <v>0</v>
      </c>
      <c r="Q105" s="104">
        <v>0</v>
      </c>
      <c r="R105" s="114">
        <v>0</v>
      </c>
      <c r="S105" s="115">
        <v>0</v>
      </c>
      <c r="T105" s="112"/>
      <c r="U105" s="107"/>
    </row>
    <row r="106" spans="1:21" x14ac:dyDescent="0.3">
      <c r="B106" s="27"/>
      <c r="C106" s="28" t="s">
        <v>25</v>
      </c>
      <c r="D106" s="31"/>
      <c r="E106" s="29">
        <f t="shared" ref="E106:G106" si="9">SUM(E100:E105)</f>
        <v>610349</v>
      </c>
      <c r="F106" s="60">
        <f t="shared" si="9"/>
        <v>694583</v>
      </c>
      <c r="G106" s="29">
        <f t="shared" si="9"/>
        <v>790822</v>
      </c>
      <c r="H106" s="29">
        <f t="shared" ref="H106:I106" si="10">SUM(H100:H105)</f>
        <v>304335</v>
      </c>
      <c r="I106" s="29">
        <f t="shared" si="10"/>
        <v>398675</v>
      </c>
      <c r="J106" s="87">
        <f t="shared" ref="J106:M106" si="11">SUM(J100:J105)</f>
        <v>369390</v>
      </c>
      <c r="K106" s="60">
        <f t="shared" si="11"/>
        <v>861183</v>
      </c>
      <c r="L106" s="60">
        <f t="shared" si="11"/>
        <v>65701</v>
      </c>
      <c r="M106" s="29">
        <f t="shared" si="11"/>
        <v>122564</v>
      </c>
      <c r="N106" s="60">
        <f t="shared" ref="N106:O106" si="12">SUM(N100:N105)</f>
        <v>168914</v>
      </c>
      <c r="O106" s="29">
        <f t="shared" si="12"/>
        <v>1252</v>
      </c>
      <c r="P106" s="101">
        <f>SUM(P100:P105)</f>
        <v>924293</v>
      </c>
      <c r="Q106" s="106">
        <f>SUM(Q100:Q105)</f>
        <v>237608</v>
      </c>
      <c r="R106" s="117">
        <f>SUM(R100:R105)</f>
        <v>1147645</v>
      </c>
      <c r="S106" s="116">
        <f>SUM(S100:S105)</f>
        <v>537775</v>
      </c>
      <c r="T106" s="117">
        <f t="shared" ref="T106:U106" si="13">SUM(T100:T105)</f>
        <v>1356801</v>
      </c>
      <c r="U106" s="116">
        <f t="shared" si="13"/>
        <v>461083</v>
      </c>
    </row>
    <row r="107" spans="1:21" x14ac:dyDescent="0.3">
      <c r="A107" s="18" t="s">
        <v>66</v>
      </c>
      <c r="B107" s="123"/>
      <c r="C107" s="124" t="s">
        <v>67</v>
      </c>
      <c r="D107" s="139"/>
      <c r="E107" s="126"/>
      <c r="F107" s="127"/>
      <c r="G107" s="126"/>
      <c r="H107" s="126"/>
      <c r="I107" s="126"/>
      <c r="J107" s="128"/>
      <c r="K107" s="127"/>
      <c r="L107" s="70"/>
      <c r="M107" s="69"/>
      <c r="N107" s="70"/>
      <c r="O107" s="69"/>
      <c r="P107" s="100"/>
      <c r="Q107" s="104"/>
      <c r="R107" s="158"/>
      <c r="S107" s="159"/>
      <c r="T107" s="158"/>
      <c r="U107" s="159"/>
    </row>
    <row r="108" spans="1:21" s="120" customFormat="1" x14ac:dyDescent="0.3">
      <c r="A108" s="130">
        <v>1</v>
      </c>
      <c r="B108" s="140"/>
      <c r="C108" s="141"/>
      <c r="D108" s="125" t="s">
        <v>68</v>
      </c>
      <c r="E108" s="126">
        <v>43683</v>
      </c>
      <c r="F108" s="127">
        <v>42430</v>
      </c>
      <c r="G108" s="126">
        <v>53322</v>
      </c>
      <c r="H108" s="126">
        <f>4288+980</f>
        <v>5268</v>
      </c>
      <c r="I108" s="126">
        <f>41103+1002</f>
        <v>42105</v>
      </c>
      <c r="J108" s="128">
        <f>4042+1040</f>
        <v>5082</v>
      </c>
      <c r="K108" s="127">
        <f>30966+707</f>
        <v>31673</v>
      </c>
      <c r="L108" s="70">
        <v>1749</v>
      </c>
      <c r="M108" s="69">
        <v>4062</v>
      </c>
      <c r="N108" s="70">
        <v>868</v>
      </c>
      <c r="O108" s="69">
        <v>42</v>
      </c>
      <c r="P108" s="100">
        <v>2673</v>
      </c>
      <c r="Q108" s="104">
        <v>16091</v>
      </c>
      <c r="R108" s="114">
        <v>4344</v>
      </c>
      <c r="S108" s="115">
        <v>48641</v>
      </c>
      <c r="T108" s="171">
        <v>3193</v>
      </c>
      <c r="U108" s="172">
        <v>33780</v>
      </c>
    </row>
    <row r="109" spans="1:21" s="120" customFormat="1" x14ac:dyDescent="0.3">
      <c r="A109" s="130">
        <v>2</v>
      </c>
      <c r="B109" s="140"/>
      <c r="C109" s="141"/>
      <c r="D109" s="125" t="s">
        <v>69</v>
      </c>
      <c r="E109" s="126">
        <v>57552</v>
      </c>
      <c r="F109" s="127">
        <v>63226</v>
      </c>
      <c r="G109" s="126">
        <v>72472</v>
      </c>
      <c r="H109" s="126">
        <f>3345+321</f>
        <v>3666</v>
      </c>
      <c r="I109" s="126">
        <f>62865+1584</f>
        <v>64449</v>
      </c>
      <c r="J109" s="128">
        <f>2801+257</f>
        <v>3058</v>
      </c>
      <c r="K109" s="127">
        <f>56292+1167</f>
        <v>57459</v>
      </c>
      <c r="L109" s="70">
        <v>924</v>
      </c>
      <c r="M109" s="69">
        <v>7346</v>
      </c>
      <c r="N109" s="70">
        <v>122</v>
      </c>
      <c r="O109" s="69">
        <v>13</v>
      </c>
      <c r="P109" s="100">
        <v>85</v>
      </c>
      <c r="Q109" s="104">
        <v>2485</v>
      </c>
      <c r="R109" s="114">
        <v>2268</v>
      </c>
      <c r="S109" s="115">
        <v>46521</v>
      </c>
      <c r="T109" s="171">
        <v>1368</v>
      </c>
      <c r="U109" s="172">
        <v>38067</v>
      </c>
    </row>
    <row r="110" spans="1:21" x14ac:dyDescent="0.3">
      <c r="A110" s="130">
        <v>3</v>
      </c>
      <c r="B110" s="140"/>
      <c r="C110" s="141"/>
      <c r="D110" s="125" t="s">
        <v>70</v>
      </c>
      <c r="E110" s="133" t="s">
        <v>15</v>
      </c>
      <c r="F110" s="132" t="s">
        <v>15</v>
      </c>
      <c r="G110" s="134">
        <v>15000</v>
      </c>
      <c r="H110" s="134" t="s">
        <v>15</v>
      </c>
      <c r="I110" s="134" t="s">
        <v>15</v>
      </c>
      <c r="J110" s="131" t="s">
        <v>15</v>
      </c>
      <c r="K110" s="132" t="s">
        <v>15</v>
      </c>
      <c r="L110" s="70">
        <v>0</v>
      </c>
      <c r="M110" s="69">
        <v>0</v>
      </c>
      <c r="N110" s="70">
        <v>0</v>
      </c>
      <c r="O110" s="69">
        <v>0</v>
      </c>
      <c r="P110" s="100">
        <v>0</v>
      </c>
      <c r="Q110" s="104">
        <v>0</v>
      </c>
      <c r="R110" s="114">
        <v>0</v>
      </c>
      <c r="S110" s="115">
        <v>0</v>
      </c>
      <c r="T110" s="115">
        <v>0</v>
      </c>
      <c r="U110" s="115">
        <v>0</v>
      </c>
    </row>
    <row r="111" spans="1:21" s="120" customFormat="1" x14ac:dyDescent="0.3">
      <c r="A111" s="130">
        <v>4</v>
      </c>
      <c r="B111" s="140"/>
      <c r="C111" s="141"/>
      <c r="D111" s="125" t="s">
        <v>71</v>
      </c>
      <c r="E111" s="126">
        <v>264708</v>
      </c>
      <c r="F111" s="127">
        <v>265545</v>
      </c>
      <c r="G111" s="126">
        <v>292734</v>
      </c>
      <c r="H111" s="134" t="s">
        <v>15</v>
      </c>
      <c r="I111" s="126">
        <f>123426+10422</f>
        <v>133848</v>
      </c>
      <c r="J111" s="131" t="s">
        <v>15</v>
      </c>
      <c r="K111" s="127">
        <f>386681+17802</f>
        <v>404483</v>
      </c>
      <c r="L111" s="70">
        <v>89469</v>
      </c>
      <c r="M111" s="69">
        <v>9941</v>
      </c>
      <c r="N111" s="70">
        <v>162</v>
      </c>
      <c r="O111" s="69">
        <v>0</v>
      </c>
      <c r="P111" s="100">
        <v>36304</v>
      </c>
      <c r="Q111" s="104">
        <v>0</v>
      </c>
      <c r="R111" s="114">
        <v>2075152</v>
      </c>
      <c r="S111" s="115">
        <v>0</v>
      </c>
      <c r="T111" s="171">
        <v>735575</v>
      </c>
      <c r="U111" s="172">
        <v>133610</v>
      </c>
    </row>
    <row r="112" spans="1:21" x14ac:dyDescent="0.3">
      <c r="A112" s="130">
        <v>5</v>
      </c>
      <c r="B112" s="140"/>
      <c r="C112" s="141"/>
      <c r="D112" s="125" t="s">
        <v>72</v>
      </c>
      <c r="E112" s="133" t="s">
        <v>15</v>
      </c>
      <c r="F112" s="136" t="s">
        <v>15</v>
      </c>
      <c r="G112" s="133">
        <v>7550</v>
      </c>
      <c r="H112" s="134" t="s">
        <v>15</v>
      </c>
      <c r="I112" s="134" t="s">
        <v>15</v>
      </c>
      <c r="J112" s="131" t="s">
        <v>15</v>
      </c>
      <c r="K112" s="132" t="s">
        <v>15</v>
      </c>
      <c r="L112" s="135" t="s">
        <v>15</v>
      </c>
      <c r="M112" s="135" t="s">
        <v>15</v>
      </c>
      <c r="N112" s="135">
        <v>0</v>
      </c>
      <c r="O112" s="135">
        <v>0</v>
      </c>
      <c r="P112" s="100">
        <v>0</v>
      </c>
      <c r="Q112" s="104">
        <v>0</v>
      </c>
      <c r="R112" s="114">
        <v>0</v>
      </c>
      <c r="S112" s="115">
        <v>0</v>
      </c>
      <c r="T112" s="115">
        <v>0</v>
      </c>
      <c r="U112" s="115">
        <v>0</v>
      </c>
    </row>
    <row r="113" spans="1:21" x14ac:dyDescent="0.3">
      <c r="A113" s="130">
        <v>6</v>
      </c>
      <c r="B113" s="140"/>
      <c r="C113" s="141"/>
      <c r="D113" s="125" t="s">
        <v>73</v>
      </c>
      <c r="E113" s="126">
        <v>6108</v>
      </c>
      <c r="F113" s="127">
        <v>7693</v>
      </c>
      <c r="G113" s="126">
        <v>5098</v>
      </c>
      <c r="H113" s="126">
        <f>97+25</f>
        <v>122</v>
      </c>
      <c r="I113" s="126">
        <f>3446+331</f>
        <v>3777</v>
      </c>
      <c r="J113" s="128">
        <v>80</v>
      </c>
      <c r="K113" s="127">
        <f>1355+157</f>
        <v>1512</v>
      </c>
      <c r="L113" s="135" t="s">
        <v>15</v>
      </c>
      <c r="M113" s="135" t="s">
        <v>15</v>
      </c>
      <c r="N113" s="135">
        <v>0</v>
      </c>
      <c r="O113" s="135">
        <v>0</v>
      </c>
      <c r="P113" s="100">
        <v>0</v>
      </c>
      <c r="Q113" s="104">
        <v>0</v>
      </c>
      <c r="R113" s="114">
        <v>0</v>
      </c>
      <c r="S113" s="115">
        <v>0</v>
      </c>
      <c r="T113" s="115">
        <v>0</v>
      </c>
      <c r="U113" s="115">
        <v>0</v>
      </c>
    </row>
    <row r="114" spans="1:21" x14ac:dyDescent="0.3">
      <c r="A114" s="130">
        <v>7</v>
      </c>
      <c r="B114" s="140"/>
      <c r="C114" s="141"/>
      <c r="D114" s="125" t="s">
        <v>74</v>
      </c>
      <c r="E114" s="133" t="s">
        <v>15</v>
      </c>
      <c r="F114" s="136" t="s">
        <v>15</v>
      </c>
      <c r="G114" s="126">
        <v>50000</v>
      </c>
      <c r="H114" s="134" t="s">
        <v>15</v>
      </c>
      <c r="I114" s="134" t="s">
        <v>15</v>
      </c>
      <c r="J114" s="131" t="s">
        <v>15</v>
      </c>
      <c r="K114" s="132" t="s">
        <v>15</v>
      </c>
      <c r="L114" s="135" t="s">
        <v>15</v>
      </c>
      <c r="M114" s="135" t="s">
        <v>15</v>
      </c>
      <c r="N114" s="135">
        <v>0</v>
      </c>
      <c r="O114" s="135">
        <v>0</v>
      </c>
      <c r="P114" s="100">
        <v>0</v>
      </c>
      <c r="Q114" s="104">
        <v>0</v>
      </c>
      <c r="R114" s="114">
        <v>0</v>
      </c>
      <c r="S114" s="115">
        <v>0</v>
      </c>
      <c r="T114" s="115">
        <v>0</v>
      </c>
      <c r="U114" s="115">
        <v>0</v>
      </c>
    </row>
    <row r="115" spans="1:21" x14ac:dyDescent="0.3">
      <c r="B115" s="27"/>
      <c r="C115" s="28" t="s">
        <v>25</v>
      </c>
      <c r="D115" s="31"/>
      <c r="E115" s="29">
        <f t="shared" ref="E115:G115" si="14">SUM(E108:E114)</f>
        <v>372051</v>
      </c>
      <c r="F115" s="60">
        <f t="shared" si="14"/>
        <v>378894</v>
      </c>
      <c r="G115" s="29">
        <f t="shared" si="14"/>
        <v>496176</v>
      </c>
      <c r="H115" s="29">
        <f t="shared" ref="H115:I115" si="15">SUM(H108:H114)</f>
        <v>9056</v>
      </c>
      <c r="I115" s="29">
        <f t="shared" si="15"/>
        <v>244179</v>
      </c>
      <c r="J115" s="87">
        <f t="shared" ref="J115:M115" si="16">SUM(J108:J114)</f>
        <v>8220</v>
      </c>
      <c r="K115" s="60">
        <f t="shared" si="16"/>
        <v>495127</v>
      </c>
      <c r="L115" s="60">
        <f t="shared" si="16"/>
        <v>92142</v>
      </c>
      <c r="M115" s="29">
        <f t="shared" si="16"/>
        <v>21349</v>
      </c>
      <c r="N115" s="60">
        <f t="shared" ref="N115:O115" si="17">SUM(N108:N114)</f>
        <v>1152</v>
      </c>
      <c r="O115" s="29">
        <f t="shared" si="17"/>
        <v>55</v>
      </c>
      <c r="P115" s="101">
        <f>SUM(P108:P114)</f>
        <v>39062</v>
      </c>
      <c r="Q115" s="106">
        <f>SUM(Q108:Q114)</f>
        <v>18576</v>
      </c>
      <c r="R115" s="117">
        <f>SUM(R108:R114)</f>
        <v>2081764</v>
      </c>
      <c r="S115" s="116">
        <f>SUM(S108:S114)</f>
        <v>95162</v>
      </c>
      <c r="T115" s="117">
        <f t="shared" ref="T115:U115" si="18">SUM(T108:T114)</f>
        <v>740136</v>
      </c>
      <c r="U115" s="116">
        <f t="shared" si="18"/>
        <v>205457</v>
      </c>
    </row>
    <row r="116" spans="1:21" x14ac:dyDescent="0.3">
      <c r="A116" s="18" t="s">
        <v>75</v>
      </c>
      <c r="B116" s="34"/>
      <c r="C116" s="35" t="s">
        <v>76</v>
      </c>
      <c r="D116" s="36"/>
      <c r="E116" s="37"/>
      <c r="F116" s="64"/>
      <c r="G116" s="37"/>
      <c r="H116" s="37"/>
      <c r="I116" s="37"/>
      <c r="J116" s="90"/>
      <c r="K116" s="64"/>
      <c r="L116" s="70"/>
      <c r="M116" s="69"/>
      <c r="N116" s="70"/>
      <c r="O116" s="69"/>
      <c r="P116" s="100"/>
      <c r="Q116" s="104"/>
      <c r="R116" s="158"/>
      <c r="S116" s="159"/>
      <c r="T116" s="158"/>
      <c r="U116" s="159"/>
    </row>
    <row r="117" spans="1:21" s="120" customFormat="1" x14ac:dyDescent="0.3">
      <c r="A117" s="130">
        <v>1</v>
      </c>
      <c r="B117" s="140"/>
      <c r="C117" s="141"/>
      <c r="D117" s="125" t="s">
        <v>77</v>
      </c>
      <c r="E117" s="126">
        <v>4949</v>
      </c>
      <c r="F117" s="127">
        <v>8411</v>
      </c>
      <c r="G117" s="126">
        <v>5671</v>
      </c>
      <c r="H117" s="126">
        <f>45+131</f>
        <v>176</v>
      </c>
      <c r="I117" s="126">
        <f>1573+4481</f>
        <v>6054</v>
      </c>
      <c r="J117" s="128">
        <v>430</v>
      </c>
      <c r="K117" s="127">
        <v>3912</v>
      </c>
      <c r="L117" s="70">
        <v>85</v>
      </c>
      <c r="M117" s="69">
        <v>649</v>
      </c>
      <c r="N117" s="70">
        <v>249</v>
      </c>
      <c r="O117" s="69">
        <v>44</v>
      </c>
      <c r="P117" s="100">
        <v>506</v>
      </c>
      <c r="Q117" s="104">
        <v>1712</v>
      </c>
      <c r="R117" s="114">
        <v>574</v>
      </c>
      <c r="S117" s="115">
        <v>4030</v>
      </c>
      <c r="T117" s="158">
        <v>916</v>
      </c>
      <c r="U117" s="172">
        <v>5330</v>
      </c>
    </row>
    <row r="118" spans="1:21" s="120" customFormat="1" x14ac:dyDescent="0.3">
      <c r="A118" s="130">
        <v>2</v>
      </c>
      <c r="B118" s="140"/>
      <c r="C118" s="141"/>
      <c r="D118" s="125" t="s">
        <v>78</v>
      </c>
      <c r="E118" s="126">
        <v>54971</v>
      </c>
      <c r="F118" s="127">
        <v>109689</v>
      </c>
      <c r="G118" s="126">
        <v>177872</v>
      </c>
      <c r="H118" s="126">
        <f>14622+30911</f>
        <v>45533</v>
      </c>
      <c r="I118" s="126">
        <f>64910+180125</f>
        <v>245035</v>
      </c>
      <c r="J118" s="128">
        <v>36566</v>
      </c>
      <c r="K118" s="127">
        <v>191168</v>
      </c>
      <c r="L118" s="70">
        <v>13195</v>
      </c>
      <c r="M118" s="69">
        <v>31644</v>
      </c>
      <c r="N118" s="70">
        <v>6150</v>
      </c>
      <c r="O118" s="69">
        <v>2545</v>
      </c>
      <c r="P118" s="100">
        <v>19898</v>
      </c>
      <c r="Q118" s="104">
        <v>77603</v>
      </c>
      <c r="R118" s="114">
        <v>28841</v>
      </c>
      <c r="S118" s="115">
        <v>183479</v>
      </c>
      <c r="T118" s="171">
        <v>25010</v>
      </c>
      <c r="U118" s="172">
        <v>190724</v>
      </c>
    </row>
    <row r="119" spans="1:21" s="120" customFormat="1" x14ac:dyDescent="0.3">
      <c r="A119" s="130">
        <v>3</v>
      </c>
      <c r="B119" s="140"/>
      <c r="C119" s="141"/>
      <c r="D119" s="125" t="s">
        <v>79</v>
      </c>
      <c r="E119" s="126">
        <v>58976</v>
      </c>
      <c r="F119" s="127">
        <v>122195</v>
      </c>
      <c r="G119" s="126">
        <v>129726</v>
      </c>
      <c r="H119" s="126">
        <f>18413+46998</f>
        <v>65411</v>
      </c>
      <c r="I119" s="126">
        <f>57730+189673</f>
        <v>247403</v>
      </c>
      <c r="J119" s="128">
        <v>73407</v>
      </c>
      <c r="K119" s="127">
        <v>291688</v>
      </c>
      <c r="L119" s="70">
        <v>49275</v>
      </c>
      <c r="M119" s="69">
        <v>48816</v>
      </c>
      <c r="N119" s="70">
        <v>35779</v>
      </c>
      <c r="O119" s="69">
        <v>1963</v>
      </c>
      <c r="P119" s="100">
        <v>33663</v>
      </c>
      <c r="Q119" s="104">
        <v>76160</v>
      </c>
      <c r="R119" s="114">
        <v>22567</v>
      </c>
      <c r="S119" s="115">
        <v>151414</v>
      </c>
      <c r="T119" s="171">
        <v>53271</v>
      </c>
      <c r="U119" s="172">
        <v>402985</v>
      </c>
    </row>
    <row r="120" spans="1:21" s="120" customFormat="1" x14ac:dyDescent="0.3">
      <c r="A120" s="130">
        <v>4</v>
      </c>
      <c r="B120" s="140"/>
      <c r="C120" s="141"/>
      <c r="D120" s="125" t="s">
        <v>80</v>
      </c>
      <c r="E120" s="126">
        <v>22765</v>
      </c>
      <c r="F120" s="127">
        <v>47019</v>
      </c>
      <c r="G120" s="126">
        <v>32921</v>
      </c>
      <c r="H120" s="126">
        <f>4445+6303</f>
        <v>10748</v>
      </c>
      <c r="I120" s="126">
        <f>14877+43920</f>
        <v>58797</v>
      </c>
      <c r="J120" s="128">
        <v>5823</v>
      </c>
      <c r="K120" s="127">
        <v>40102</v>
      </c>
      <c r="L120" s="70">
        <v>2922</v>
      </c>
      <c r="M120" s="69">
        <v>4441</v>
      </c>
      <c r="N120" s="70">
        <v>2087</v>
      </c>
      <c r="O120" s="69">
        <v>405</v>
      </c>
      <c r="P120" s="100">
        <v>4835</v>
      </c>
      <c r="Q120" s="104">
        <v>12846</v>
      </c>
      <c r="R120" s="114">
        <v>7440</v>
      </c>
      <c r="S120" s="115">
        <v>31360</v>
      </c>
      <c r="T120" s="171">
        <v>8171</v>
      </c>
      <c r="U120" s="172">
        <v>32018</v>
      </c>
    </row>
    <row r="121" spans="1:21" s="120" customFormat="1" x14ac:dyDescent="0.3">
      <c r="A121" s="130">
        <v>5</v>
      </c>
      <c r="B121" s="140"/>
      <c r="C121" s="141"/>
      <c r="D121" s="125" t="s">
        <v>81</v>
      </c>
      <c r="E121" s="126">
        <v>6602</v>
      </c>
      <c r="F121" s="127">
        <v>12198</v>
      </c>
      <c r="G121" s="126">
        <v>12558</v>
      </c>
      <c r="H121" s="126">
        <f>6+329</f>
        <v>335</v>
      </c>
      <c r="I121" s="126">
        <f>6605+17002</f>
        <v>23607</v>
      </c>
      <c r="J121" s="131" t="s">
        <v>15</v>
      </c>
      <c r="K121" s="127">
        <v>14043</v>
      </c>
      <c r="L121" s="70">
        <v>11</v>
      </c>
      <c r="M121" s="69">
        <v>1858</v>
      </c>
      <c r="N121" s="70">
        <v>46</v>
      </c>
      <c r="O121" s="69">
        <v>87</v>
      </c>
      <c r="P121" s="100">
        <v>187</v>
      </c>
      <c r="Q121" s="104">
        <v>3350</v>
      </c>
      <c r="R121" s="114">
        <v>19</v>
      </c>
      <c r="S121" s="115">
        <v>7452</v>
      </c>
      <c r="T121" s="158">
        <v>42</v>
      </c>
      <c r="U121" s="172">
        <v>2689</v>
      </c>
    </row>
    <row r="122" spans="1:21" s="120" customFormat="1" x14ac:dyDescent="0.3">
      <c r="A122" s="130">
        <v>6</v>
      </c>
      <c r="B122" s="140"/>
      <c r="C122" s="141"/>
      <c r="D122" s="125" t="s">
        <v>82</v>
      </c>
      <c r="E122" s="126">
        <v>3119</v>
      </c>
      <c r="F122" s="127">
        <v>7004</v>
      </c>
      <c r="G122" s="126">
        <v>7044</v>
      </c>
      <c r="H122" s="134" t="s">
        <v>15</v>
      </c>
      <c r="I122" s="126">
        <f>3113+9069</f>
        <v>12182</v>
      </c>
      <c r="J122" s="131" t="s">
        <v>15</v>
      </c>
      <c r="K122" s="127">
        <v>9269</v>
      </c>
      <c r="L122" s="70">
        <v>0</v>
      </c>
      <c r="M122" s="69">
        <v>980</v>
      </c>
      <c r="N122" s="70">
        <v>24</v>
      </c>
      <c r="O122" s="69">
        <v>112</v>
      </c>
      <c r="P122" s="100">
        <v>250</v>
      </c>
      <c r="Q122" s="104">
        <v>2372</v>
      </c>
      <c r="R122" s="114">
        <v>169</v>
      </c>
      <c r="S122" s="115">
        <v>5115</v>
      </c>
      <c r="T122" s="158">
        <v>140</v>
      </c>
      <c r="U122" s="172">
        <v>2132</v>
      </c>
    </row>
    <row r="123" spans="1:21" s="120" customFormat="1" ht="14.25" customHeight="1" x14ac:dyDescent="0.3">
      <c r="A123" s="130">
        <v>7</v>
      </c>
      <c r="B123" s="140"/>
      <c r="C123" s="141"/>
      <c r="D123" s="125" t="s">
        <v>83</v>
      </c>
      <c r="E123" s="126">
        <v>14425</v>
      </c>
      <c r="F123" s="127">
        <v>34992</v>
      </c>
      <c r="G123" s="126">
        <v>17316</v>
      </c>
      <c r="H123" s="126">
        <f>692+2589</f>
        <v>3281</v>
      </c>
      <c r="I123" s="126">
        <f>1400+4147</f>
        <v>5547</v>
      </c>
      <c r="J123" s="128">
        <v>6708</v>
      </c>
      <c r="K123" s="127">
        <v>11855</v>
      </c>
      <c r="L123" s="70">
        <v>2484</v>
      </c>
      <c r="M123" s="69">
        <v>5004</v>
      </c>
      <c r="N123" s="70">
        <v>258</v>
      </c>
      <c r="O123" s="69">
        <v>9</v>
      </c>
      <c r="P123" s="100">
        <v>821</v>
      </c>
      <c r="Q123" s="104">
        <v>1315</v>
      </c>
      <c r="R123" s="114">
        <v>2195</v>
      </c>
      <c r="S123" s="115">
        <v>1143</v>
      </c>
      <c r="T123" s="171">
        <v>1406</v>
      </c>
      <c r="U123" s="159">
        <v>619</v>
      </c>
    </row>
    <row r="124" spans="1:21" s="120" customFormat="1" x14ac:dyDescent="0.3">
      <c r="A124" s="130">
        <v>8</v>
      </c>
      <c r="B124" s="140"/>
      <c r="C124" s="141"/>
      <c r="D124" s="125" t="s">
        <v>84</v>
      </c>
      <c r="E124" s="126">
        <v>23674</v>
      </c>
      <c r="F124" s="127">
        <v>37413</v>
      </c>
      <c r="G124" s="126">
        <v>21589</v>
      </c>
      <c r="H124" s="134" t="s">
        <v>15</v>
      </c>
      <c r="I124" s="126">
        <f>10826+34563</f>
        <v>45389</v>
      </c>
      <c r="J124" s="131">
        <v>3604</v>
      </c>
      <c r="K124" s="127">
        <v>35429</v>
      </c>
      <c r="L124" s="70">
        <v>398</v>
      </c>
      <c r="M124" s="69">
        <v>6201</v>
      </c>
      <c r="N124" s="70">
        <v>238</v>
      </c>
      <c r="O124" s="69">
        <v>269</v>
      </c>
      <c r="P124" s="100">
        <v>2461</v>
      </c>
      <c r="Q124" s="104">
        <v>12289</v>
      </c>
      <c r="R124" s="114">
        <v>3297</v>
      </c>
      <c r="S124" s="115">
        <v>25242</v>
      </c>
      <c r="T124" s="171">
        <v>1245</v>
      </c>
      <c r="U124" s="172">
        <v>8603</v>
      </c>
    </row>
    <row r="125" spans="1:21" s="120" customFormat="1" x14ac:dyDescent="0.3">
      <c r="A125" s="130">
        <v>9</v>
      </c>
      <c r="B125" s="140"/>
      <c r="C125" s="141"/>
      <c r="D125" s="125" t="s">
        <v>85</v>
      </c>
      <c r="E125" s="126">
        <v>206</v>
      </c>
      <c r="F125" s="127">
        <v>417</v>
      </c>
      <c r="G125" s="126">
        <v>465</v>
      </c>
      <c r="H125" s="126">
        <f>10+10</f>
        <v>20</v>
      </c>
      <c r="I125" s="126">
        <f>51+149</f>
        <v>200</v>
      </c>
      <c r="J125" s="128">
        <v>35</v>
      </c>
      <c r="K125" s="127">
        <v>352</v>
      </c>
      <c r="L125" s="70">
        <v>3454</v>
      </c>
      <c r="M125" s="69">
        <v>345</v>
      </c>
      <c r="N125" s="70">
        <v>14056</v>
      </c>
      <c r="O125" s="69">
        <v>0</v>
      </c>
      <c r="P125" s="100">
        <v>15309</v>
      </c>
      <c r="Q125" s="104">
        <v>347</v>
      </c>
      <c r="R125" s="114">
        <v>19098</v>
      </c>
      <c r="S125" s="115">
        <v>592</v>
      </c>
      <c r="T125" s="171">
        <v>14659</v>
      </c>
      <c r="U125" s="159">
        <v>275</v>
      </c>
    </row>
    <row r="126" spans="1:21" s="120" customFormat="1" x14ac:dyDescent="0.3">
      <c r="A126" s="130">
        <v>10</v>
      </c>
      <c r="B126" s="140"/>
      <c r="C126" s="141"/>
      <c r="D126" s="125" t="s">
        <v>86</v>
      </c>
      <c r="E126" s="126">
        <v>1240</v>
      </c>
      <c r="F126" s="127">
        <v>2439</v>
      </c>
      <c r="G126" s="126">
        <v>6930</v>
      </c>
      <c r="H126" s="126">
        <f>714+1488</f>
        <v>2202</v>
      </c>
      <c r="I126" s="126">
        <f>1285+2937</f>
        <v>4222</v>
      </c>
      <c r="J126" s="128">
        <v>4483</v>
      </c>
      <c r="K126" s="127">
        <v>5852</v>
      </c>
      <c r="L126" s="70">
        <v>827</v>
      </c>
      <c r="M126" s="69">
        <v>928</v>
      </c>
      <c r="N126" s="70">
        <v>0</v>
      </c>
      <c r="O126" s="69">
        <v>91</v>
      </c>
      <c r="P126" s="100">
        <v>1543</v>
      </c>
      <c r="Q126" s="104">
        <v>1433</v>
      </c>
      <c r="R126" s="114">
        <v>2006</v>
      </c>
      <c r="S126" s="115">
        <v>2956</v>
      </c>
      <c r="T126" s="171">
        <v>2825</v>
      </c>
      <c r="U126" s="172">
        <v>3139</v>
      </c>
    </row>
    <row r="127" spans="1:21" x14ac:dyDescent="0.3">
      <c r="A127" s="130">
        <v>11</v>
      </c>
      <c r="B127" s="140"/>
      <c r="C127" s="141"/>
      <c r="D127" s="125" t="s">
        <v>87</v>
      </c>
      <c r="E127" s="126">
        <v>34</v>
      </c>
      <c r="F127" s="132" t="s">
        <v>15</v>
      </c>
      <c r="G127" s="134" t="s">
        <v>15</v>
      </c>
      <c r="H127" s="134" t="s">
        <v>15</v>
      </c>
      <c r="I127" s="134" t="s">
        <v>15</v>
      </c>
      <c r="J127" s="131" t="s">
        <v>15</v>
      </c>
      <c r="K127" s="132" t="s">
        <v>15</v>
      </c>
      <c r="L127" s="135" t="s">
        <v>15</v>
      </c>
      <c r="M127" s="135" t="s">
        <v>15</v>
      </c>
      <c r="N127" s="135">
        <v>0</v>
      </c>
      <c r="O127" s="135">
        <v>0</v>
      </c>
      <c r="P127" s="100"/>
      <c r="Q127" s="104"/>
      <c r="R127" s="114">
        <v>0</v>
      </c>
      <c r="S127" s="115">
        <v>0</v>
      </c>
      <c r="T127" s="115">
        <v>0</v>
      </c>
      <c r="U127" s="115">
        <v>0</v>
      </c>
    </row>
    <row r="128" spans="1:21" x14ac:dyDescent="0.3">
      <c r="A128" s="130">
        <v>12</v>
      </c>
      <c r="B128" s="140"/>
      <c r="C128" s="141"/>
      <c r="D128" s="125" t="s">
        <v>88</v>
      </c>
      <c r="E128" s="126">
        <v>68758</v>
      </c>
      <c r="F128" s="127">
        <v>63412</v>
      </c>
      <c r="G128" s="126">
        <v>140026</v>
      </c>
      <c r="H128" s="126">
        <f>52699+105851</f>
        <v>158550</v>
      </c>
      <c r="I128" s="126">
        <f>34199+81260</f>
        <v>115459</v>
      </c>
      <c r="J128" s="128">
        <v>133851</v>
      </c>
      <c r="K128" s="127">
        <v>117250</v>
      </c>
      <c r="L128" s="70">
        <v>83915</v>
      </c>
      <c r="M128" s="69">
        <v>20302</v>
      </c>
      <c r="N128" s="70">
        <v>61359</v>
      </c>
      <c r="O128" s="69">
        <v>1932</v>
      </c>
      <c r="P128" s="100">
        <v>74483</v>
      </c>
      <c r="Q128" s="104">
        <v>40053</v>
      </c>
      <c r="R128" s="114">
        <v>0</v>
      </c>
      <c r="S128" s="115">
        <v>0</v>
      </c>
      <c r="T128" s="115">
        <v>0</v>
      </c>
      <c r="U128" s="115">
        <v>0</v>
      </c>
    </row>
    <row r="129" spans="1:21" x14ac:dyDescent="0.3">
      <c r="A129" s="130">
        <v>13</v>
      </c>
      <c r="B129" s="140"/>
      <c r="C129" s="141"/>
      <c r="D129" s="125" t="s">
        <v>89</v>
      </c>
      <c r="E129" s="142">
        <v>0</v>
      </c>
      <c r="F129" s="143">
        <v>0</v>
      </c>
      <c r="G129" s="142">
        <v>0</v>
      </c>
      <c r="H129" s="142">
        <v>0</v>
      </c>
      <c r="I129" s="142">
        <v>0</v>
      </c>
      <c r="J129" s="144" t="s">
        <v>15</v>
      </c>
      <c r="K129" s="145" t="s">
        <v>15</v>
      </c>
      <c r="L129" s="135" t="s">
        <v>15</v>
      </c>
      <c r="M129" s="135" t="s">
        <v>15</v>
      </c>
      <c r="N129" s="135">
        <v>0</v>
      </c>
      <c r="O129" s="135">
        <v>0</v>
      </c>
      <c r="P129" s="100">
        <v>0</v>
      </c>
      <c r="Q129" s="104">
        <v>0</v>
      </c>
      <c r="R129" s="114">
        <v>0</v>
      </c>
      <c r="S129" s="115">
        <v>0</v>
      </c>
      <c r="T129" s="115">
        <v>0</v>
      </c>
      <c r="U129" s="115">
        <v>0</v>
      </c>
    </row>
    <row r="130" spans="1:21" s="120" customFormat="1" x14ac:dyDescent="0.3">
      <c r="A130" s="130">
        <v>14</v>
      </c>
      <c r="B130" s="140"/>
      <c r="C130" s="141"/>
      <c r="D130" s="125" t="s">
        <v>90</v>
      </c>
      <c r="E130" s="126">
        <v>34</v>
      </c>
      <c r="F130" s="127">
        <v>6</v>
      </c>
      <c r="G130" s="142">
        <v>0</v>
      </c>
      <c r="H130" s="142">
        <v>0</v>
      </c>
      <c r="I130" s="142">
        <v>0</v>
      </c>
      <c r="J130" s="144" t="s">
        <v>15</v>
      </c>
      <c r="K130" s="145" t="s">
        <v>15</v>
      </c>
      <c r="L130" s="135" t="s">
        <v>15</v>
      </c>
      <c r="M130" s="135" t="s">
        <v>15</v>
      </c>
      <c r="N130" s="135">
        <v>0</v>
      </c>
      <c r="O130" s="135">
        <v>0</v>
      </c>
      <c r="P130" s="100">
        <v>0</v>
      </c>
      <c r="Q130" s="104">
        <v>0</v>
      </c>
      <c r="R130" s="114">
        <v>1047</v>
      </c>
      <c r="S130" s="115">
        <v>1075</v>
      </c>
      <c r="T130" s="171">
        <v>2662</v>
      </c>
      <c r="U130" s="172">
        <v>2151</v>
      </c>
    </row>
    <row r="131" spans="1:21" x14ac:dyDescent="0.3">
      <c r="A131" s="130">
        <v>15</v>
      </c>
      <c r="B131" s="140"/>
      <c r="C131" s="141"/>
      <c r="D131" s="125" t="s">
        <v>91</v>
      </c>
      <c r="E131" s="142">
        <v>0</v>
      </c>
      <c r="F131" s="143">
        <v>0</v>
      </c>
      <c r="G131" s="142">
        <v>0</v>
      </c>
      <c r="H131" s="142">
        <v>0</v>
      </c>
      <c r="I131" s="142">
        <v>0</v>
      </c>
      <c r="J131" s="144" t="s">
        <v>15</v>
      </c>
      <c r="K131" s="145" t="s">
        <v>15</v>
      </c>
      <c r="L131" s="135" t="s">
        <v>15</v>
      </c>
      <c r="M131" s="135" t="s">
        <v>15</v>
      </c>
      <c r="N131" s="135">
        <v>0</v>
      </c>
      <c r="O131" s="135">
        <v>0</v>
      </c>
      <c r="P131" s="100">
        <v>0</v>
      </c>
      <c r="Q131" s="104">
        <v>0</v>
      </c>
      <c r="R131" s="114">
        <v>0</v>
      </c>
      <c r="S131" s="115">
        <v>0</v>
      </c>
      <c r="T131" s="115">
        <v>0</v>
      </c>
      <c r="U131" s="115">
        <v>0</v>
      </c>
    </row>
    <row r="132" spans="1:21" x14ac:dyDescent="0.3">
      <c r="A132" s="130">
        <v>16</v>
      </c>
      <c r="B132" s="140"/>
      <c r="C132" s="141"/>
      <c r="D132" s="125" t="s">
        <v>92</v>
      </c>
      <c r="E132" s="126">
        <v>5088</v>
      </c>
      <c r="F132" s="127">
        <v>8017</v>
      </c>
      <c r="G132" s="126"/>
      <c r="H132" s="126">
        <f>792+1647</f>
        <v>2439</v>
      </c>
      <c r="I132" s="126">
        <f>1972+3741</f>
        <v>5713</v>
      </c>
      <c r="J132" s="128">
        <v>1791</v>
      </c>
      <c r="K132" s="127">
        <v>3382</v>
      </c>
      <c r="L132" s="70">
        <v>390</v>
      </c>
      <c r="M132" s="69">
        <v>570</v>
      </c>
      <c r="N132" s="70">
        <v>0</v>
      </c>
      <c r="O132" s="69">
        <v>0</v>
      </c>
      <c r="P132" s="100">
        <v>0</v>
      </c>
      <c r="Q132" s="104">
        <v>0</v>
      </c>
      <c r="R132" s="114">
        <v>0</v>
      </c>
      <c r="S132" s="115">
        <v>0</v>
      </c>
      <c r="T132" s="115">
        <v>0</v>
      </c>
      <c r="U132" s="115">
        <v>0</v>
      </c>
    </row>
    <row r="133" spans="1:21" x14ac:dyDescent="0.3">
      <c r="A133" s="130">
        <v>17</v>
      </c>
      <c r="B133" s="140"/>
      <c r="C133" s="141"/>
      <c r="D133" s="125" t="s">
        <v>93</v>
      </c>
      <c r="E133" s="134" t="s">
        <v>15</v>
      </c>
      <c r="F133" s="132" t="s">
        <v>15</v>
      </c>
      <c r="G133" s="126">
        <v>7114</v>
      </c>
      <c r="H133" s="142">
        <v>0</v>
      </c>
      <c r="I133" s="142">
        <v>0</v>
      </c>
      <c r="J133" s="144" t="s">
        <v>15</v>
      </c>
      <c r="K133" s="145" t="s">
        <v>15</v>
      </c>
      <c r="L133" s="135" t="s">
        <v>15</v>
      </c>
      <c r="M133" s="135" t="s">
        <v>15</v>
      </c>
      <c r="N133" s="135">
        <v>0</v>
      </c>
      <c r="O133" s="135">
        <v>0</v>
      </c>
      <c r="P133" s="100">
        <v>0</v>
      </c>
      <c r="Q133" s="104">
        <v>0</v>
      </c>
      <c r="R133" s="114">
        <v>0</v>
      </c>
      <c r="S133" s="115">
        <v>0</v>
      </c>
      <c r="T133" s="115">
        <v>0</v>
      </c>
      <c r="U133" s="115">
        <v>0</v>
      </c>
    </row>
    <row r="134" spans="1:21" x14ac:dyDescent="0.3">
      <c r="A134" s="130">
        <v>18</v>
      </c>
      <c r="B134" s="140"/>
      <c r="C134" s="141"/>
      <c r="D134" s="125" t="s">
        <v>94</v>
      </c>
      <c r="E134" s="134" t="s">
        <v>15</v>
      </c>
      <c r="F134" s="132" t="s">
        <v>15</v>
      </c>
      <c r="G134" s="134" t="s">
        <v>15</v>
      </c>
      <c r="H134" s="126">
        <f>3771+7240</f>
        <v>11011</v>
      </c>
      <c r="I134" s="126">
        <f>7206+22263</f>
        <v>29469</v>
      </c>
      <c r="J134" s="131" t="s">
        <v>15</v>
      </c>
      <c r="K134" s="132" t="s">
        <v>15</v>
      </c>
      <c r="L134" s="135" t="s">
        <v>15</v>
      </c>
      <c r="M134" s="135" t="s">
        <v>15</v>
      </c>
      <c r="N134" s="135">
        <v>0</v>
      </c>
      <c r="O134" s="135">
        <v>0</v>
      </c>
      <c r="P134" s="100">
        <v>0</v>
      </c>
      <c r="Q134" s="104">
        <v>0</v>
      </c>
      <c r="R134" s="114">
        <v>0</v>
      </c>
      <c r="S134" s="115">
        <v>0</v>
      </c>
      <c r="T134" s="115">
        <v>0</v>
      </c>
      <c r="U134" s="115">
        <v>0</v>
      </c>
    </row>
    <row r="135" spans="1:21" s="120" customFormat="1" x14ac:dyDescent="0.3">
      <c r="A135" s="130">
        <v>19</v>
      </c>
      <c r="B135" s="140"/>
      <c r="C135" s="141"/>
      <c r="D135" s="125" t="s">
        <v>95</v>
      </c>
      <c r="E135" s="134" t="s">
        <v>15</v>
      </c>
      <c r="F135" s="132" t="s">
        <v>15</v>
      </c>
      <c r="G135" s="134" t="s">
        <v>15</v>
      </c>
      <c r="H135" s="126">
        <f>21758+12527</f>
        <v>34285</v>
      </c>
      <c r="I135" s="128">
        <f>434+1617</f>
        <v>2051</v>
      </c>
      <c r="J135" s="128">
        <v>22131</v>
      </c>
      <c r="K135" s="146">
        <v>4787</v>
      </c>
      <c r="L135" s="70">
        <v>30236</v>
      </c>
      <c r="M135" s="69">
        <v>1310</v>
      </c>
      <c r="N135" s="70">
        <v>27082</v>
      </c>
      <c r="O135" s="69">
        <v>846</v>
      </c>
      <c r="P135" s="100">
        <v>26434</v>
      </c>
      <c r="Q135" s="104">
        <v>2711</v>
      </c>
      <c r="R135" s="114">
        <v>11974</v>
      </c>
      <c r="S135" s="115">
        <v>5024</v>
      </c>
      <c r="T135" s="171">
        <v>14570</v>
      </c>
      <c r="U135" s="172">
        <v>2590</v>
      </c>
    </row>
    <row r="136" spans="1:21" s="120" customFormat="1" x14ac:dyDescent="0.3">
      <c r="A136" s="130">
        <v>20</v>
      </c>
      <c r="B136" s="140"/>
      <c r="C136" s="141"/>
      <c r="D136" s="125" t="s">
        <v>96</v>
      </c>
      <c r="E136" s="134" t="s">
        <v>15</v>
      </c>
      <c r="F136" s="132" t="s">
        <v>15</v>
      </c>
      <c r="G136" s="134" t="s">
        <v>15</v>
      </c>
      <c r="H136" s="128">
        <v>89482</v>
      </c>
      <c r="I136" s="126">
        <v>185623</v>
      </c>
      <c r="J136" s="126">
        <v>57959</v>
      </c>
      <c r="K136" s="128">
        <v>89797</v>
      </c>
      <c r="L136" s="147">
        <v>58853</v>
      </c>
      <c r="M136" s="69">
        <v>11107</v>
      </c>
      <c r="N136" s="70">
        <v>29444</v>
      </c>
      <c r="O136" s="69">
        <v>2713</v>
      </c>
      <c r="P136" s="100">
        <v>62352</v>
      </c>
      <c r="Q136" s="104">
        <v>30924</v>
      </c>
      <c r="R136" s="114">
        <v>92047</v>
      </c>
      <c r="S136" s="115">
        <v>77750</v>
      </c>
      <c r="T136" s="171">
        <v>80146</v>
      </c>
      <c r="U136" s="172">
        <v>78154</v>
      </c>
    </row>
    <row r="137" spans="1:21" s="120" customFormat="1" x14ac:dyDescent="0.3">
      <c r="A137" s="130">
        <v>21</v>
      </c>
      <c r="B137" s="140"/>
      <c r="C137" s="141"/>
      <c r="D137" s="125" t="s">
        <v>215</v>
      </c>
      <c r="E137" s="132" t="s">
        <v>15</v>
      </c>
      <c r="F137" s="132" t="s">
        <v>15</v>
      </c>
      <c r="G137" s="132" t="s">
        <v>15</v>
      </c>
      <c r="H137" s="132" t="s">
        <v>15</v>
      </c>
      <c r="I137" s="132" t="s">
        <v>15</v>
      </c>
      <c r="J137" s="132" t="s">
        <v>15</v>
      </c>
      <c r="K137" s="132" t="s">
        <v>15</v>
      </c>
      <c r="L137" s="132" t="s">
        <v>15</v>
      </c>
      <c r="M137" s="132" t="s">
        <v>15</v>
      </c>
      <c r="N137" s="70">
        <v>28077</v>
      </c>
      <c r="O137" s="69">
        <v>0</v>
      </c>
      <c r="P137" s="100">
        <v>11735</v>
      </c>
      <c r="Q137" s="104">
        <v>642</v>
      </c>
      <c r="R137" s="114">
        <v>13649</v>
      </c>
      <c r="S137" s="115">
        <v>22305</v>
      </c>
      <c r="T137" s="171">
        <v>6578</v>
      </c>
      <c r="U137" s="159">
        <v>72</v>
      </c>
    </row>
    <row r="138" spans="1:21" s="120" customFormat="1" x14ac:dyDescent="0.3">
      <c r="A138" s="130">
        <v>22</v>
      </c>
      <c r="B138" s="140"/>
      <c r="C138" s="141"/>
      <c r="D138" s="125" t="s">
        <v>216</v>
      </c>
      <c r="E138" s="132" t="s">
        <v>15</v>
      </c>
      <c r="F138" s="132" t="s">
        <v>15</v>
      </c>
      <c r="G138" s="132" t="s">
        <v>15</v>
      </c>
      <c r="H138" s="132" t="s">
        <v>15</v>
      </c>
      <c r="I138" s="132" t="s">
        <v>15</v>
      </c>
      <c r="J138" s="132" t="s">
        <v>15</v>
      </c>
      <c r="K138" s="132" t="s">
        <v>15</v>
      </c>
      <c r="L138" s="132" t="s">
        <v>15</v>
      </c>
      <c r="M138" s="132" t="s">
        <v>15</v>
      </c>
      <c r="N138" s="135">
        <v>17976</v>
      </c>
      <c r="O138" s="135">
        <v>2168</v>
      </c>
      <c r="P138" s="100">
        <v>46246</v>
      </c>
      <c r="Q138" s="104">
        <v>166508</v>
      </c>
      <c r="R138" s="114">
        <v>29256</v>
      </c>
      <c r="S138" s="115">
        <v>369281</v>
      </c>
      <c r="T138" s="171">
        <v>13250</v>
      </c>
      <c r="U138" s="172">
        <v>217047</v>
      </c>
    </row>
    <row r="139" spans="1:21" s="120" customFormat="1" x14ac:dyDescent="0.3">
      <c r="A139" s="130">
        <v>23</v>
      </c>
      <c r="B139" s="140"/>
      <c r="C139" s="141"/>
      <c r="D139" s="125" t="s">
        <v>217</v>
      </c>
      <c r="E139" s="132" t="s">
        <v>15</v>
      </c>
      <c r="F139" s="132" t="s">
        <v>15</v>
      </c>
      <c r="G139" s="132" t="s">
        <v>15</v>
      </c>
      <c r="H139" s="132" t="s">
        <v>15</v>
      </c>
      <c r="I139" s="132" t="s">
        <v>15</v>
      </c>
      <c r="J139" s="132" t="s">
        <v>15</v>
      </c>
      <c r="K139" s="132" t="s">
        <v>15</v>
      </c>
      <c r="L139" s="132" t="s">
        <v>15</v>
      </c>
      <c r="M139" s="132" t="s">
        <v>15</v>
      </c>
      <c r="N139" s="135">
        <v>608</v>
      </c>
      <c r="O139" s="135">
        <v>32</v>
      </c>
      <c r="P139" s="100">
        <v>512</v>
      </c>
      <c r="Q139" s="104">
        <v>0</v>
      </c>
      <c r="R139" s="114">
        <v>416</v>
      </c>
      <c r="S139" s="115">
        <v>720</v>
      </c>
      <c r="T139" s="158">
        <v>529</v>
      </c>
      <c r="U139" s="159">
        <v>85</v>
      </c>
    </row>
    <row r="140" spans="1:21" x14ac:dyDescent="0.3">
      <c r="A140" s="130">
        <v>24</v>
      </c>
      <c r="B140" s="140"/>
      <c r="C140" s="141"/>
      <c r="D140" s="125" t="s">
        <v>218</v>
      </c>
      <c r="E140" s="132" t="s">
        <v>15</v>
      </c>
      <c r="F140" s="132" t="s">
        <v>15</v>
      </c>
      <c r="G140" s="132" t="s">
        <v>15</v>
      </c>
      <c r="H140" s="132" t="s">
        <v>15</v>
      </c>
      <c r="I140" s="132" t="s">
        <v>15</v>
      </c>
      <c r="J140" s="132" t="s">
        <v>15</v>
      </c>
      <c r="K140" s="132" t="s">
        <v>15</v>
      </c>
      <c r="L140" s="132" t="s">
        <v>15</v>
      </c>
      <c r="M140" s="132" t="s">
        <v>15</v>
      </c>
      <c r="N140" s="135">
        <v>0</v>
      </c>
      <c r="O140" s="135">
        <v>0</v>
      </c>
      <c r="P140" s="100">
        <v>0</v>
      </c>
      <c r="Q140" s="104">
        <v>0</v>
      </c>
      <c r="R140" s="114">
        <v>0</v>
      </c>
      <c r="S140" s="115">
        <v>0</v>
      </c>
      <c r="T140" s="115">
        <v>0</v>
      </c>
      <c r="U140" s="115">
        <v>0</v>
      </c>
    </row>
    <row r="141" spans="1:21" x14ac:dyDescent="0.3">
      <c r="A141" s="130">
        <v>25</v>
      </c>
      <c r="B141" s="140"/>
      <c r="C141" s="141"/>
      <c r="D141" s="125" t="s">
        <v>251</v>
      </c>
      <c r="E141" s="132" t="s">
        <v>15</v>
      </c>
      <c r="F141" s="132" t="s">
        <v>15</v>
      </c>
      <c r="G141" s="132" t="s">
        <v>15</v>
      </c>
      <c r="H141" s="132" t="s">
        <v>15</v>
      </c>
      <c r="I141" s="132" t="s">
        <v>15</v>
      </c>
      <c r="J141" s="132" t="s">
        <v>15</v>
      </c>
      <c r="K141" s="132" t="s">
        <v>15</v>
      </c>
      <c r="L141" s="132" t="s">
        <v>15</v>
      </c>
      <c r="M141" s="132" t="s">
        <v>15</v>
      </c>
      <c r="N141" s="135">
        <v>0</v>
      </c>
      <c r="O141" s="135">
        <v>0</v>
      </c>
      <c r="P141" s="100">
        <v>0</v>
      </c>
      <c r="Q141" s="104">
        <v>0</v>
      </c>
      <c r="R141" s="114">
        <v>0</v>
      </c>
      <c r="S141" s="115">
        <v>0</v>
      </c>
      <c r="T141" s="115">
        <v>0</v>
      </c>
      <c r="U141" s="115">
        <v>0</v>
      </c>
    </row>
    <row r="142" spans="1:21" s="120" customFormat="1" x14ac:dyDescent="0.3">
      <c r="A142" s="130">
        <v>26</v>
      </c>
      <c r="B142" s="140"/>
      <c r="C142" s="141"/>
      <c r="D142" s="125" t="s">
        <v>252</v>
      </c>
      <c r="E142" s="132" t="s">
        <v>15</v>
      </c>
      <c r="F142" s="132" t="s">
        <v>15</v>
      </c>
      <c r="G142" s="132" t="s">
        <v>15</v>
      </c>
      <c r="H142" s="132" t="s">
        <v>15</v>
      </c>
      <c r="I142" s="132" t="s">
        <v>15</v>
      </c>
      <c r="J142" s="132" t="s">
        <v>15</v>
      </c>
      <c r="K142" s="132" t="s">
        <v>15</v>
      </c>
      <c r="L142" s="132" t="s">
        <v>15</v>
      </c>
      <c r="M142" s="132" t="s">
        <v>15</v>
      </c>
      <c r="N142" s="135">
        <v>0</v>
      </c>
      <c r="O142" s="135">
        <v>0</v>
      </c>
      <c r="P142" s="100">
        <v>2300</v>
      </c>
      <c r="Q142" s="104">
        <v>208</v>
      </c>
      <c r="R142" s="114">
        <v>7422</v>
      </c>
      <c r="S142" s="115">
        <v>525</v>
      </c>
      <c r="T142" s="171">
        <v>1629</v>
      </c>
      <c r="U142" s="159">
        <v>548</v>
      </c>
    </row>
    <row r="143" spans="1:21" s="120" customFormat="1" x14ac:dyDescent="0.3">
      <c r="A143" s="130">
        <v>27</v>
      </c>
      <c r="B143" s="140"/>
      <c r="C143" s="141"/>
      <c r="D143" s="125" t="s">
        <v>253</v>
      </c>
      <c r="E143" s="132" t="s">
        <v>15</v>
      </c>
      <c r="F143" s="132" t="s">
        <v>15</v>
      </c>
      <c r="G143" s="132" t="s">
        <v>15</v>
      </c>
      <c r="H143" s="132" t="s">
        <v>15</v>
      </c>
      <c r="I143" s="132" t="s">
        <v>15</v>
      </c>
      <c r="J143" s="132" t="s">
        <v>15</v>
      </c>
      <c r="K143" s="132" t="s">
        <v>15</v>
      </c>
      <c r="L143" s="132" t="s">
        <v>15</v>
      </c>
      <c r="M143" s="132" t="s">
        <v>15</v>
      </c>
      <c r="N143" s="135">
        <v>0</v>
      </c>
      <c r="O143" s="135">
        <v>0</v>
      </c>
      <c r="P143" s="100">
        <v>2301</v>
      </c>
      <c r="Q143" s="104">
        <v>2556</v>
      </c>
      <c r="R143" s="114">
        <v>3775</v>
      </c>
      <c r="S143" s="115">
        <v>5645</v>
      </c>
      <c r="T143" s="171">
        <v>3239</v>
      </c>
      <c r="U143" s="172">
        <v>5350</v>
      </c>
    </row>
    <row r="144" spans="1:21" s="120" customFormat="1" x14ac:dyDescent="0.3">
      <c r="A144" s="130">
        <v>28</v>
      </c>
      <c r="B144" s="140"/>
      <c r="C144" s="141"/>
      <c r="D144" s="125" t="s">
        <v>274</v>
      </c>
      <c r="E144" s="132" t="s">
        <v>15</v>
      </c>
      <c r="F144" s="132" t="s">
        <v>15</v>
      </c>
      <c r="G144" s="132" t="s">
        <v>15</v>
      </c>
      <c r="H144" s="132" t="s">
        <v>15</v>
      </c>
      <c r="I144" s="132" t="s">
        <v>15</v>
      </c>
      <c r="J144" s="132" t="s">
        <v>15</v>
      </c>
      <c r="K144" s="132" t="s">
        <v>15</v>
      </c>
      <c r="L144" s="132" t="s">
        <v>15</v>
      </c>
      <c r="M144" s="132" t="s">
        <v>15</v>
      </c>
      <c r="N144" s="135">
        <v>0</v>
      </c>
      <c r="O144" s="135">
        <v>0</v>
      </c>
      <c r="P144" s="135">
        <v>0</v>
      </c>
      <c r="Q144" s="135">
        <v>0</v>
      </c>
      <c r="R144" s="114">
        <v>0</v>
      </c>
      <c r="S144" s="115">
        <v>967</v>
      </c>
      <c r="T144" s="158">
        <v>10</v>
      </c>
      <c r="U144" s="172">
        <v>11855</v>
      </c>
    </row>
    <row r="145" spans="1:21" s="120" customFormat="1" x14ac:dyDescent="0.3">
      <c r="A145" s="130">
        <v>29</v>
      </c>
      <c r="B145" s="140"/>
      <c r="C145" s="141"/>
      <c r="D145" s="125" t="s">
        <v>275</v>
      </c>
      <c r="E145" s="132" t="s">
        <v>15</v>
      </c>
      <c r="F145" s="132" t="s">
        <v>15</v>
      </c>
      <c r="G145" s="132" t="s">
        <v>15</v>
      </c>
      <c r="H145" s="132" t="s">
        <v>15</v>
      </c>
      <c r="I145" s="132" t="s">
        <v>15</v>
      </c>
      <c r="J145" s="132" t="s">
        <v>15</v>
      </c>
      <c r="K145" s="132" t="s">
        <v>15</v>
      </c>
      <c r="L145" s="132" t="s">
        <v>15</v>
      </c>
      <c r="M145" s="132" t="s">
        <v>15</v>
      </c>
      <c r="N145" s="135">
        <v>0</v>
      </c>
      <c r="O145" s="135">
        <v>0</v>
      </c>
      <c r="P145" s="135">
        <v>0</v>
      </c>
      <c r="Q145" s="135">
        <v>0</v>
      </c>
      <c r="R145" s="114">
        <v>0</v>
      </c>
      <c r="S145" s="115">
        <f>624+212</f>
        <v>836</v>
      </c>
      <c r="T145" s="115">
        <v>0</v>
      </c>
      <c r="U145" s="115">
        <v>0</v>
      </c>
    </row>
    <row r="146" spans="1:21" s="120" customFormat="1" x14ac:dyDescent="0.3">
      <c r="A146" s="130">
        <v>30</v>
      </c>
      <c r="B146" s="140"/>
      <c r="C146" s="141"/>
      <c r="D146" s="125" t="s">
        <v>276</v>
      </c>
      <c r="E146" s="132" t="s">
        <v>15</v>
      </c>
      <c r="F146" s="132" t="s">
        <v>15</v>
      </c>
      <c r="G146" s="132" t="s">
        <v>15</v>
      </c>
      <c r="H146" s="132" t="s">
        <v>15</v>
      </c>
      <c r="I146" s="132" t="s">
        <v>15</v>
      </c>
      <c r="J146" s="132" t="s">
        <v>15</v>
      </c>
      <c r="K146" s="132" t="s">
        <v>15</v>
      </c>
      <c r="L146" s="132" t="s">
        <v>15</v>
      </c>
      <c r="M146" s="132" t="s">
        <v>15</v>
      </c>
      <c r="N146" s="135">
        <v>0</v>
      </c>
      <c r="O146" s="135">
        <v>0</v>
      </c>
      <c r="P146" s="135">
        <v>0</v>
      </c>
      <c r="Q146" s="135">
        <v>0</v>
      </c>
      <c r="R146" s="114">
        <v>525</v>
      </c>
      <c r="S146" s="115">
        <v>0</v>
      </c>
      <c r="T146" s="171">
        <v>12374</v>
      </c>
      <c r="U146" s="159">
        <v>492</v>
      </c>
    </row>
    <row r="147" spans="1:21" s="120" customFormat="1" x14ac:dyDescent="0.3">
      <c r="A147" s="130">
        <v>31</v>
      </c>
      <c r="B147" s="140"/>
      <c r="C147" s="141"/>
      <c r="D147" s="125" t="s">
        <v>281</v>
      </c>
      <c r="E147" s="132" t="s">
        <v>15</v>
      </c>
      <c r="F147" s="132" t="s">
        <v>15</v>
      </c>
      <c r="G147" s="132" t="s">
        <v>15</v>
      </c>
      <c r="H147" s="132" t="s">
        <v>15</v>
      </c>
      <c r="I147" s="132" t="s">
        <v>15</v>
      </c>
      <c r="J147" s="132" t="s">
        <v>15</v>
      </c>
      <c r="K147" s="132" t="s">
        <v>15</v>
      </c>
      <c r="L147" s="132" t="s">
        <v>15</v>
      </c>
      <c r="M147" s="132" t="s">
        <v>15</v>
      </c>
      <c r="N147" s="135">
        <v>0</v>
      </c>
      <c r="O147" s="135">
        <v>0</v>
      </c>
      <c r="P147" s="135">
        <v>0</v>
      </c>
      <c r="Q147" s="135">
        <v>0</v>
      </c>
      <c r="R147" s="114">
        <v>68161</v>
      </c>
      <c r="S147" s="115">
        <v>94589</v>
      </c>
      <c r="T147" s="171">
        <v>52266</v>
      </c>
      <c r="U147" s="172">
        <v>91514</v>
      </c>
    </row>
    <row r="148" spans="1:21" x14ac:dyDescent="0.3">
      <c r="B148" s="27"/>
      <c r="C148" s="28" t="s">
        <v>25</v>
      </c>
      <c r="D148" s="31"/>
      <c r="E148" s="29">
        <f>SUM(E117:E138)</f>
        <v>264841</v>
      </c>
      <c r="F148" s="60">
        <f>SUM(F117:F138)</f>
        <v>453212</v>
      </c>
      <c r="G148" s="29">
        <f>SUM(G117:G138)</f>
        <v>559232</v>
      </c>
      <c r="H148" s="29">
        <f t="shared" ref="H148:O148" si="19">SUM(H117:H140)</f>
        <v>423473</v>
      </c>
      <c r="I148" s="29">
        <f t="shared" si="19"/>
        <v>986751</v>
      </c>
      <c r="J148" s="87">
        <f t="shared" si="19"/>
        <v>346788</v>
      </c>
      <c r="K148" s="60">
        <f t="shared" si="19"/>
        <v>818886</v>
      </c>
      <c r="L148" s="60">
        <f t="shared" si="19"/>
        <v>246045</v>
      </c>
      <c r="M148" s="29">
        <f t="shared" si="19"/>
        <v>134155</v>
      </c>
      <c r="N148" s="29">
        <f t="shared" si="19"/>
        <v>223433</v>
      </c>
      <c r="O148" s="29">
        <f t="shared" si="19"/>
        <v>13216</v>
      </c>
      <c r="P148" s="101">
        <f>SUM(P117:P143)</f>
        <v>305836</v>
      </c>
      <c r="Q148" s="106">
        <f>SUM(Q117:Q143)</f>
        <v>433029</v>
      </c>
      <c r="R148" s="117">
        <f>SUM(R117:R147)</f>
        <v>314478</v>
      </c>
      <c r="S148" s="116">
        <f>SUM(S117:S147)</f>
        <v>991500</v>
      </c>
      <c r="T148" s="117">
        <f t="shared" ref="T148:U148" si="20">SUM(T117:T147)</f>
        <v>294938</v>
      </c>
      <c r="U148" s="116">
        <f t="shared" si="20"/>
        <v>1058372</v>
      </c>
    </row>
    <row r="149" spans="1:21" x14ac:dyDescent="0.3">
      <c r="A149" s="18" t="s">
        <v>97</v>
      </c>
      <c r="B149" s="95"/>
      <c r="C149" s="35" t="s">
        <v>98</v>
      </c>
      <c r="D149" s="36"/>
      <c r="E149" s="15"/>
      <c r="F149" s="61"/>
      <c r="G149" s="15"/>
      <c r="H149" s="15"/>
      <c r="I149" s="15"/>
      <c r="J149" s="38"/>
      <c r="K149" s="61"/>
      <c r="L149" s="70"/>
      <c r="M149" s="69"/>
      <c r="N149" s="70"/>
      <c r="O149" s="69"/>
      <c r="P149" s="100"/>
      <c r="Q149" s="104"/>
      <c r="R149" s="114"/>
      <c r="S149" s="115"/>
      <c r="T149" s="158"/>
      <c r="U149" s="159"/>
    </row>
    <row r="150" spans="1:21" s="157" customFormat="1" x14ac:dyDescent="0.3">
      <c r="A150" s="8">
        <v>1</v>
      </c>
      <c r="B150" s="12"/>
      <c r="C150" s="13"/>
      <c r="D150" s="14" t="s">
        <v>99</v>
      </c>
      <c r="E150" s="15">
        <v>30583</v>
      </c>
      <c r="F150" s="61">
        <v>60217</v>
      </c>
      <c r="G150" s="15">
        <v>67397</v>
      </c>
      <c r="H150" s="15">
        <f>21847+23950</f>
        <v>45797</v>
      </c>
      <c r="I150" s="15">
        <f>3018+3905</f>
        <v>6923</v>
      </c>
      <c r="J150" s="38">
        <v>9049</v>
      </c>
      <c r="K150" s="61">
        <v>3000</v>
      </c>
      <c r="L150" s="151">
        <v>5091</v>
      </c>
      <c r="M150" s="75">
        <v>10975</v>
      </c>
      <c r="N150" s="151">
        <v>9211</v>
      </c>
      <c r="O150" s="75">
        <v>0</v>
      </c>
      <c r="P150" s="121">
        <v>46272</v>
      </c>
      <c r="Q150" s="148">
        <v>1932</v>
      </c>
      <c r="R150" s="114">
        <v>45523</v>
      </c>
      <c r="S150" s="115">
        <v>5292</v>
      </c>
      <c r="T150" s="171">
        <v>96684</v>
      </c>
      <c r="U150" s="172">
        <v>6260</v>
      </c>
    </row>
    <row r="151" spans="1:21" x14ac:dyDescent="0.3">
      <c r="A151" s="8">
        <v>2</v>
      </c>
      <c r="B151" s="12"/>
      <c r="C151" s="13"/>
      <c r="D151" s="14" t="s">
        <v>100</v>
      </c>
      <c r="E151" s="15">
        <v>100268</v>
      </c>
      <c r="F151" s="61">
        <v>104156</v>
      </c>
      <c r="G151" s="15">
        <v>95429</v>
      </c>
      <c r="H151" s="15">
        <f>10625+12062</f>
        <v>22687</v>
      </c>
      <c r="I151" s="15">
        <f>20148+18903</f>
        <v>39051</v>
      </c>
      <c r="J151" s="38">
        <v>33988</v>
      </c>
      <c r="K151" s="61">
        <v>23639</v>
      </c>
      <c r="L151" s="151">
        <v>3696</v>
      </c>
      <c r="M151" s="75">
        <v>5579</v>
      </c>
      <c r="N151" s="151"/>
      <c r="O151" s="75"/>
      <c r="P151" s="121">
        <v>0</v>
      </c>
      <c r="Q151" s="148">
        <v>0</v>
      </c>
      <c r="R151" s="114">
        <v>0</v>
      </c>
      <c r="S151" s="115">
        <v>0</v>
      </c>
      <c r="T151" s="115">
        <v>0</v>
      </c>
      <c r="U151" s="115">
        <v>0</v>
      </c>
    </row>
    <row r="152" spans="1:21" s="157" customFormat="1" x14ac:dyDescent="0.3">
      <c r="A152" s="8" t="s">
        <v>282</v>
      </c>
      <c r="B152" s="12"/>
      <c r="C152" s="13"/>
      <c r="D152" s="14" t="s">
        <v>101</v>
      </c>
      <c r="E152" s="15">
        <v>128323</v>
      </c>
      <c r="F152" s="61">
        <v>73711</v>
      </c>
      <c r="G152" s="15">
        <v>140059</v>
      </c>
      <c r="H152" s="15">
        <f>21668+21831</f>
        <v>43499</v>
      </c>
      <c r="I152" s="15">
        <f>24813+23905</f>
        <v>48718</v>
      </c>
      <c r="J152" s="38">
        <v>40694</v>
      </c>
      <c r="K152" s="61">
        <v>33937</v>
      </c>
      <c r="L152" s="151">
        <v>10671</v>
      </c>
      <c r="M152" s="75">
        <v>7981</v>
      </c>
      <c r="N152" s="151">
        <v>6159</v>
      </c>
      <c r="O152" s="75">
        <v>0</v>
      </c>
      <c r="P152" s="121">
        <v>18597</v>
      </c>
      <c r="Q152" s="148">
        <v>7426</v>
      </c>
      <c r="R152" s="114">
        <v>45360</v>
      </c>
      <c r="S152" s="115">
        <v>18316</v>
      </c>
      <c r="T152" s="171">
        <v>41023</v>
      </c>
      <c r="U152" s="172">
        <v>49728</v>
      </c>
    </row>
    <row r="153" spans="1:21" s="157" customFormat="1" x14ac:dyDescent="0.3">
      <c r="A153" s="8">
        <v>4</v>
      </c>
      <c r="B153" s="12"/>
      <c r="C153" s="13"/>
      <c r="D153" s="14" t="s">
        <v>102</v>
      </c>
      <c r="E153" s="15">
        <v>35365</v>
      </c>
      <c r="F153" s="63">
        <v>8186</v>
      </c>
      <c r="G153" s="23">
        <v>20293</v>
      </c>
      <c r="H153" s="23">
        <f>4365+5526</f>
        <v>9891</v>
      </c>
      <c r="I153" s="23">
        <f>303+520</f>
        <v>823</v>
      </c>
      <c r="J153" s="89">
        <v>18610</v>
      </c>
      <c r="K153" s="63">
        <v>2872</v>
      </c>
      <c r="L153" s="151">
        <v>12693</v>
      </c>
      <c r="M153" s="75">
        <v>275</v>
      </c>
      <c r="N153" s="151">
        <v>0</v>
      </c>
      <c r="O153" s="75">
        <v>0</v>
      </c>
      <c r="P153" s="121">
        <v>18313</v>
      </c>
      <c r="Q153" s="148">
        <v>7296</v>
      </c>
      <c r="R153" s="114">
        <v>58224</v>
      </c>
      <c r="S153" s="115">
        <v>805</v>
      </c>
      <c r="T153" s="171">
        <v>73701</v>
      </c>
      <c r="U153" s="159">
        <v>857</v>
      </c>
    </row>
    <row r="154" spans="1:21" s="157" customFormat="1" x14ac:dyDescent="0.3">
      <c r="A154" s="8">
        <v>5</v>
      </c>
      <c r="B154" s="12"/>
      <c r="C154" s="13"/>
      <c r="D154" s="14" t="s">
        <v>103</v>
      </c>
      <c r="E154" s="15">
        <v>68608</v>
      </c>
      <c r="F154" s="61">
        <v>52515</v>
      </c>
      <c r="G154" s="15">
        <v>22285</v>
      </c>
      <c r="H154" s="15">
        <f>2689+3007</f>
        <v>5696</v>
      </c>
      <c r="I154" s="15">
        <f>12401+12201</f>
        <v>24602</v>
      </c>
      <c r="J154" s="38">
        <v>11964</v>
      </c>
      <c r="K154" s="61">
        <v>9293</v>
      </c>
      <c r="L154" s="151">
        <v>1195</v>
      </c>
      <c r="M154" s="75">
        <v>1170</v>
      </c>
      <c r="N154" s="151">
        <v>21</v>
      </c>
      <c r="O154" s="75">
        <v>17</v>
      </c>
      <c r="P154" s="121">
        <v>264</v>
      </c>
      <c r="Q154" s="148">
        <v>639</v>
      </c>
      <c r="R154" s="114">
        <v>135</v>
      </c>
      <c r="S154" s="115">
        <v>3789</v>
      </c>
      <c r="T154" s="171">
        <v>1056</v>
      </c>
      <c r="U154" s="172">
        <v>3491</v>
      </c>
    </row>
    <row r="155" spans="1:21" x14ac:dyDescent="0.3">
      <c r="A155" s="8">
        <v>6</v>
      </c>
      <c r="B155" s="12"/>
      <c r="C155" s="13"/>
      <c r="D155" s="14" t="s">
        <v>104</v>
      </c>
      <c r="E155" s="15">
        <v>51258</v>
      </c>
      <c r="F155" s="61">
        <v>55711</v>
      </c>
      <c r="G155" s="15">
        <v>57592</v>
      </c>
      <c r="H155" s="15">
        <f>18290+18338</f>
        <v>36628</v>
      </c>
      <c r="I155" s="15">
        <f>369+606</f>
        <v>975</v>
      </c>
      <c r="J155" s="38">
        <v>33484</v>
      </c>
      <c r="K155" s="61">
        <v>7237</v>
      </c>
      <c r="L155" s="151">
        <v>2769</v>
      </c>
      <c r="M155" s="75">
        <v>7914</v>
      </c>
      <c r="N155" s="151">
        <v>0</v>
      </c>
      <c r="O155" s="75">
        <v>0</v>
      </c>
      <c r="P155" s="121">
        <v>22253</v>
      </c>
      <c r="Q155" s="148">
        <v>126</v>
      </c>
      <c r="R155" s="114">
        <v>0</v>
      </c>
      <c r="S155" s="115">
        <v>0</v>
      </c>
      <c r="T155" s="115">
        <v>0</v>
      </c>
      <c r="U155" s="115">
        <v>0</v>
      </c>
    </row>
    <row r="156" spans="1:21" s="157" customFormat="1" x14ac:dyDescent="0.3">
      <c r="A156" s="8">
        <v>7</v>
      </c>
      <c r="B156" s="12"/>
      <c r="C156" s="13"/>
      <c r="D156" s="14" t="s">
        <v>105</v>
      </c>
      <c r="E156" s="23" t="s">
        <v>15</v>
      </c>
      <c r="F156" s="62" t="s">
        <v>15</v>
      </c>
      <c r="G156" s="25" t="s">
        <v>15</v>
      </c>
      <c r="H156" s="25">
        <f>3129+3464</f>
        <v>6593</v>
      </c>
      <c r="I156" s="25">
        <f>967+740</f>
        <v>1707</v>
      </c>
      <c r="J156" s="88">
        <v>14403</v>
      </c>
      <c r="K156" s="62">
        <v>4149</v>
      </c>
      <c r="L156" s="151">
        <v>1130</v>
      </c>
      <c r="M156" s="75">
        <v>1138</v>
      </c>
      <c r="N156" s="151">
        <v>1496</v>
      </c>
      <c r="O156" s="75">
        <v>66</v>
      </c>
      <c r="P156" s="121">
        <v>9815</v>
      </c>
      <c r="Q156" s="148">
        <v>538</v>
      </c>
      <c r="R156" s="114">
        <v>8431</v>
      </c>
      <c r="S156" s="115">
        <v>2648</v>
      </c>
      <c r="T156" s="171">
        <v>25104</v>
      </c>
      <c r="U156" s="172">
        <v>1913</v>
      </c>
    </row>
    <row r="157" spans="1:21" s="157" customFormat="1" x14ac:dyDescent="0.3">
      <c r="A157" s="8">
        <v>8</v>
      </c>
      <c r="B157" s="12"/>
      <c r="C157" s="13"/>
      <c r="D157" s="14" t="s">
        <v>106</v>
      </c>
      <c r="E157" s="23">
        <v>34209</v>
      </c>
      <c r="F157" s="62" t="s">
        <v>15</v>
      </c>
      <c r="G157" s="25">
        <v>101547</v>
      </c>
      <c r="H157" s="25">
        <f>100576+971</f>
        <v>101547</v>
      </c>
      <c r="I157" s="25">
        <v>0</v>
      </c>
      <c r="J157" s="88">
        <v>25652</v>
      </c>
      <c r="K157" s="62">
        <v>13985</v>
      </c>
      <c r="L157" s="71" t="s">
        <v>15</v>
      </c>
      <c r="M157" s="71" t="s">
        <v>15</v>
      </c>
      <c r="N157" s="71">
        <v>4033</v>
      </c>
      <c r="O157" s="71">
        <v>137</v>
      </c>
      <c r="P157" s="121">
        <v>2609</v>
      </c>
      <c r="Q157" s="148">
        <v>206</v>
      </c>
      <c r="R157" s="114">
        <v>17755</v>
      </c>
      <c r="S157" s="115">
        <v>19252</v>
      </c>
      <c r="T157" s="171">
        <v>25204</v>
      </c>
      <c r="U157" s="172">
        <v>18976</v>
      </c>
    </row>
    <row r="158" spans="1:21" s="157" customFormat="1" x14ac:dyDescent="0.3">
      <c r="A158" s="8">
        <v>9</v>
      </c>
      <c r="B158" s="12"/>
      <c r="C158" s="13"/>
      <c r="D158" s="14" t="s">
        <v>107</v>
      </c>
      <c r="E158" s="15">
        <v>44665</v>
      </c>
      <c r="F158" s="61">
        <v>31262</v>
      </c>
      <c r="G158" s="15">
        <v>10372</v>
      </c>
      <c r="H158" s="15">
        <f>60</f>
        <v>60</v>
      </c>
      <c r="I158" s="15">
        <f>3085+4023</f>
        <v>7108</v>
      </c>
      <c r="J158" s="38">
        <v>2272</v>
      </c>
      <c r="K158" s="61">
        <v>6775</v>
      </c>
      <c r="L158" s="71" t="s">
        <v>15</v>
      </c>
      <c r="M158" s="75">
        <v>1022</v>
      </c>
      <c r="N158" s="71">
        <v>245</v>
      </c>
      <c r="O158" s="75">
        <v>0</v>
      </c>
      <c r="P158" s="121">
        <v>206</v>
      </c>
      <c r="Q158" s="148">
        <v>1780</v>
      </c>
      <c r="R158" s="114">
        <v>1126</v>
      </c>
      <c r="S158" s="115">
        <v>3828</v>
      </c>
      <c r="T158" s="171">
        <v>1153</v>
      </c>
      <c r="U158" s="172">
        <v>4876</v>
      </c>
    </row>
    <row r="159" spans="1:21" s="157" customFormat="1" x14ac:dyDescent="0.3">
      <c r="A159" s="8">
        <v>10</v>
      </c>
      <c r="B159" s="12"/>
      <c r="C159" s="13"/>
      <c r="D159" s="14" t="s">
        <v>108</v>
      </c>
      <c r="E159" s="15">
        <v>52304</v>
      </c>
      <c r="F159" s="61">
        <v>36304</v>
      </c>
      <c r="G159" s="15">
        <v>32473</v>
      </c>
      <c r="H159" s="15">
        <f>1315+1287</f>
        <v>2602</v>
      </c>
      <c r="I159" s="15">
        <f>10034+11000</f>
        <v>21034</v>
      </c>
      <c r="J159" s="38">
        <v>5656</v>
      </c>
      <c r="K159" s="61">
        <v>8241</v>
      </c>
      <c r="L159" s="71" t="s">
        <v>15</v>
      </c>
      <c r="M159" s="75">
        <v>764</v>
      </c>
      <c r="N159" s="71">
        <v>150</v>
      </c>
      <c r="O159" s="75">
        <v>0</v>
      </c>
      <c r="P159" s="121">
        <v>3639</v>
      </c>
      <c r="Q159" s="148">
        <v>3836</v>
      </c>
      <c r="R159" s="114">
        <v>9461</v>
      </c>
      <c r="S159" s="115">
        <v>12057</v>
      </c>
      <c r="T159" s="171">
        <v>6448</v>
      </c>
      <c r="U159" s="172">
        <v>17848</v>
      </c>
    </row>
    <row r="160" spans="1:21" x14ac:dyDescent="0.3">
      <c r="A160" s="8">
        <v>11</v>
      </c>
      <c r="B160" s="12"/>
      <c r="C160" s="13"/>
      <c r="D160" s="14" t="s">
        <v>109</v>
      </c>
      <c r="E160" s="23" t="s">
        <v>15</v>
      </c>
      <c r="F160" s="63" t="s">
        <v>15</v>
      </c>
      <c r="G160" s="23" t="s">
        <v>15</v>
      </c>
      <c r="H160" s="25" t="s">
        <v>15</v>
      </c>
      <c r="I160" s="25" t="s">
        <v>15</v>
      </c>
      <c r="J160" s="88" t="s">
        <v>15</v>
      </c>
      <c r="K160" s="62" t="s">
        <v>15</v>
      </c>
      <c r="L160" s="71" t="s">
        <v>15</v>
      </c>
      <c r="M160" s="71" t="s">
        <v>15</v>
      </c>
      <c r="N160" s="71">
        <v>185</v>
      </c>
      <c r="O160" s="71">
        <v>0</v>
      </c>
      <c r="P160" s="121">
        <v>0</v>
      </c>
      <c r="Q160" s="148">
        <v>0</v>
      </c>
      <c r="R160" s="114">
        <v>0</v>
      </c>
      <c r="S160" s="115">
        <v>0</v>
      </c>
      <c r="T160" s="115">
        <v>0</v>
      </c>
      <c r="U160" s="115">
        <v>0</v>
      </c>
    </row>
    <row r="161" spans="1:21" x14ac:dyDescent="0.3">
      <c r="A161" s="8">
        <v>12</v>
      </c>
      <c r="B161" s="12"/>
      <c r="C161" s="13"/>
      <c r="D161" s="14" t="s">
        <v>110</v>
      </c>
      <c r="E161" s="23" t="s">
        <v>15</v>
      </c>
      <c r="F161" s="63" t="s">
        <v>15</v>
      </c>
      <c r="G161" s="23" t="s">
        <v>15</v>
      </c>
      <c r="H161" s="25" t="s">
        <v>15</v>
      </c>
      <c r="I161" s="25" t="s">
        <v>15</v>
      </c>
      <c r="J161" s="88" t="s">
        <v>15</v>
      </c>
      <c r="K161" s="62" t="s">
        <v>15</v>
      </c>
      <c r="L161" s="71" t="s">
        <v>15</v>
      </c>
      <c r="M161" s="71" t="s">
        <v>15</v>
      </c>
      <c r="N161" s="71">
        <v>0</v>
      </c>
      <c r="O161" s="71">
        <v>0</v>
      </c>
      <c r="P161" s="121">
        <v>0</v>
      </c>
      <c r="Q161" s="148">
        <v>0</v>
      </c>
      <c r="R161" s="114">
        <v>0</v>
      </c>
      <c r="S161" s="115">
        <v>0</v>
      </c>
      <c r="T161" s="115">
        <v>0</v>
      </c>
      <c r="U161" s="115">
        <v>0</v>
      </c>
    </row>
    <row r="162" spans="1:21" s="157" customFormat="1" x14ac:dyDescent="0.3">
      <c r="A162" s="8">
        <v>13</v>
      </c>
      <c r="B162" s="12"/>
      <c r="C162" s="13"/>
      <c r="D162" s="14" t="s">
        <v>111</v>
      </c>
      <c r="E162" s="23" t="s">
        <v>15</v>
      </c>
      <c r="F162" s="63" t="s">
        <v>15</v>
      </c>
      <c r="G162" s="23" t="s">
        <v>15</v>
      </c>
      <c r="H162" s="23">
        <f>3987+2646</f>
        <v>6633</v>
      </c>
      <c r="I162" s="23">
        <f>1524+1138</f>
        <v>2662</v>
      </c>
      <c r="J162" s="89">
        <v>7951</v>
      </c>
      <c r="K162" s="63">
        <v>4346</v>
      </c>
      <c r="L162" s="151">
        <v>17900</v>
      </c>
      <c r="M162" s="75">
        <v>1395</v>
      </c>
      <c r="N162" s="151">
        <v>6221</v>
      </c>
      <c r="O162" s="75">
        <v>0</v>
      </c>
      <c r="P162" s="121">
        <v>8823</v>
      </c>
      <c r="Q162" s="148">
        <v>0</v>
      </c>
      <c r="R162" s="114">
        <v>16049</v>
      </c>
      <c r="S162" s="115">
        <v>30</v>
      </c>
      <c r="T162" s="171">
        <v>78353</v>
      </c>
      <c r="U162" s="174">
        <v>0</v>
      </c>
    </row>
    <row r="163" spans="1:21" s="157" customFormat="1" x14ac:dyDescent="0.3">
      <c r="A163" s="8">
        <v>14</v>
      </c>
      <c r="B163" s="12"/>
      <c r="C163" s="13"/>
      <c r="D163" s="14" t="s">
        <v>112</v>
      </c>
      <c r="E163" s="23">
        <v>20939</v>
      </c>
      <c r="F163" s="63">
        <v>31792</v>
      </c>
      <c r="G163" s="23">
        <v>4470</v>
      </c>
      <c r="H163" s="23">
        <f>959+385</f>
        <v>1344</v>
      </c>
      <c r="I163" s="23">
        <f>1293+1731</f>
        <v>3024</v>
      </c>
      <c r="J163" s="89">
        <v>7941</v>
      </c>
      <c r="K163" s="63">
        <v>2002</v>
      </c>
      <c r="L163" s="151">
        <v>536</v>
      </c>
      <c r="M163" s="75">
        <v>45</v>
      </c>
      <c r="N163" s="151">
        <v>10709</v>
      </c>
      <c r="O163" s="75">
        <v>0</v>
      </c>
      <c r="P163" s="121">
        <v>53235</v>
      </c>
      <c r="Q163" s="148">
        <v>625</v>
      </c>
      <c r="R163" s="114">
        <v>91345</v>
      </c>
      <c r="S163" s="115">
        <v>8741</v>
      </c>
      <c r="T163" s="171">
        <v>127643</v>
      </c>
      <c r="U163" s="172">
        <v>5041</v>
      </c>
    </row>
    <row r="164" spans="1:21" x14ac:dyDescent="0.3">
      <c r="A164" s="8">
        <v>15</v>
      </c>
      <c r="B164" s="12"/>
      <c r="C164" s="13"/>
      <c r="D164" s="14" t="s">
        <v>113</v>
      </c>
      <c r="E164" s="15">
        <v>2708</v>
      </c>
      <c r="F164" s="61">
        <v>718</v>
      </c>
      <c r="G164" s="15">
        <v>3408</v>
      </c>
      <c r="H164" s="15">
        <f>841+660</f>
        <v>1501</v>
      </c>
      <c r="I164" s="15">
        <f>458+382</f>
        <v>840</v>
      </c>
      <c r="J164" s="38">
        <v>1286</v>
      </c>
      <c r="K164" s="61">
        <v>1179</v>
      </c>
      <c r="L164" s="151">
        <v>442</v>
      </c>
      <c r="M164" s="75">
        <v>190</v>
      </c>
      <c r="N164" s="151">
        <v>0</v>
      </c>
      <c r="O164" s="75">
        <v>0</v>
      </c>
      <c r="P164" s="121">
        <v>0</v>
      </c>
      <c r="Q164" s="148">
        <v>0</v>
      </c>
      <c r="R164" s="114">
        <v>0</v>
      </c>
      <c r="S164" s="115">
        <v>0</v>
      </c>
      <c r="T164" s="115">
        <v>0</v>
      </c>
      <c r="U164" s="115">
        <v>0</v>
      </c>
    </row>
    <row r="165" spans="1:21" s="122" customFormat="1" x14ac:dyDescent="0.3">
      <c r="A165" s="8">
        <v>16</v>
      </c>
      <c r="B165" s="12"/>
      <c r="C165" s="13"/>
      <c r="D165" s="14" t="s">
        <v>114</v>
      </c>
      <c r="E165" s="15">
        <v>6539</v>
      </c>
      <c r="F165" s="61">
        <v>22906</v>
      </c>
      <c r="G165" s="15">
        <v>4986</v>
      </c>
      <c r="H165" s="15">
        <f>568+330</f>
        <v>898</v>
      </c>
      <c r="I165" s="15">
        <f>1669+1193</f>
        <v>2862</v>
      </c>
      <c r="J165" s="38">
        <v>2408</v>
      </c>
      <c r="K165" s="61">
        <v>1044</v>
      </c>
      <c r="L165" s="151">
        <v>587</v>
      </c>
      <c r="M165" s="75">
        <v>347</v>
      </c>
      <c r="N165" s="151">
        <v>0</v>
      </c>
      <c r="O165" s="75">
        <v>0</v>
      </c>
      <c r="P165" s="121">
        <v>637</v>
      </c>
      <c r="Q165" s="148">
        <v>1294</v>
      </c>
      <c r="R165" s="114">
        <v>1401</v>
      </c>
      <c r="S165" s="115">
        <v>3686</v>
      </c>
      <c r="T165" s="158"/>
      <c r="U165" s="159"/>
    </row>
    <row r="166" spans="1:21" s="157" customFormat="1" x14ac:dyDescent="0.3">
      <c r="A166" s="8">
        <v>17</v>
      </c>
      <c r="B166" s="12"/>
      <c r="C166" s="13"/>
      <c r="D166" s="14" t="s">
        <v>115</v>
      </c>
      <c r="E166" s="15">
        <v>5264</v>
      </c>
      <c r="F166" s="61">
        <v>1802</v>
      </c>
      <c r="G166" s="15">
        <v>3216</v>
      </c>
      <c r="H166" s="15">
        <f>371+781</f>
        <v>1152</v>
      </c>
      <c r="I166" s="15">
        <f>195+632</f>
        <v>827</v>
      </c>
      <c r="J166" s="38">
        <v>1113</v>
      </c>
      <c r="K166" s="94">
        <v>862</v>
      </c>
      <c r="L166" s="151">
        <v>371</v>
      </c>
      <c r="M166" s="75">
        <v>209</v>
      </c>
      <c r="N166" s="151">
        <v>34</v>
      </c>
      <c r="O166" s="75">
        <v>0</v>
      </c>
      <c r="P166" s="121">
        <v>883</v>
      </c>
      <c r="Q166" s="148">
        <v>76</v>
      </c>
      <c r="R166" s="114">
        <v>705</v>
      </c>
      <c r="S166" s="115">
        <v>293</v>
      </c>
      <c r="T166" s="158">
        <v>746</v>
      </c>
      <c r="U166" s="159">
        <v>147</v>
      </c>
    </row>
    <row r="167" spans="1:21" x14ac:dyDescent="0.3">
      <c r="A167" s="8">
        <v>18</v>
      </c>
      <c r="B167" s="12"/>
      <c r="C167" s="13"/>
      <c r="D167" s="14" t="s">
        <v>116</v>
      </c>
      <c r="E167" s="15">
        <v>58785</v>
      </c>
      <c r="F167" s="61">
        <v>39684</v>
      </c>
      <c r="G167" s="15">
        <v>65872</v>
      </c>
      <c r="H167" s="15">
        <f>3281+3438</f>
        <v>6719</v>
      </c>
      <c r="I167" s="15">
        <f>18191+21203</f>
        <v>39394</v>
      </c>
      <c r="J167" s="38">
        <v>8098</v>
      </c>
      <c r="K167" s="61">
        <v>35036</v>
      </c>
      <c r="L167" s="151">
        <v>7600</v>
      </c>
      <c r="M167" s="75">
        <v>2167</v>
      </c>
      <c r="N167" s="151">
        <v>0</v>
      </c>
      <c r="O167" s="75">
        <v>0</v>
      </c>
      <c r="P167" s="121">
        <v>0</v>
      </c>
      <c r="Q167" s="148">
        <v>0</v>
      </c>
      <c r="R167" s="114">
        <v>0</v>
      </c>
      <c r="S167" s="115">
        <v>0</v>
      </c>
      <c r="T167" s="115">
        <v>0</v>
      </c>
      <c r="U167" s="115">
        <v>0</v>
      </c>
    </row>
    <row r="168" spans="1:21" s="157" customFormat="1" x14ac:dyDescent="0.3">
      <c r="A168" s="8">
        <v>19</v>
      </c>
      <c r="B168" s="12"/>
      <c r="C168" s="13"/>
      <c r="D168" s="14" t="s">
        <v>117</v>
      </c>
      <c r="E168" s="15">
        <v>12250</v>
      </c>
      <c r="F168" s="62">
        <v>80710</v>
      </c>
      <c r="G168" s="25">
        <v>13741</v>
      </c>
      <c r="H168" s="25">
        <f>3647+4161</f>
        <v>7808</v>
      </c>
      <c r="I168" s="25">
        <f>5512+2987</f>
        <v>8499</v>
      </c>
      <c r="J168" s="88">
        <v>11700</v>
      </c>
      <c r="K168" s="62">
        <v>6674</v>
      </c>
      <c r="L168" s="151">
        <v>2629</v>
      </c>
      <c r="M168" s="75">
        <v>2050</v>
      </c>
      <c r="N168" s="151">
        <v>77</v>
      </c>
      <c r="O168" s="75">
        <v>0</v>
      </c>
      <c r="P168" s="121">
        <v>2828</v>
      </c>
      <c r="Q168" s="148">
        <v>1122</v>
      </c>
      <c r="R168" s="114">
        <v>12785</v>
      </c>
      <c r="S168" s="115">
        <v>5227</v>
      </c>
      <c r="T168" s="171">
        <v>15943</v>
      </c>
      <c r="U168" s="172">
        <v>9234</v>
      </c>
    </row>
    <row r="169" spans="1:21" s="157" customFormat="1" x14ac:dyDescent="0.3">
      <c r="A169" s="8">
        <v>20</v>
      </c>
      <c r="B169" s="12"/>
      <c r="C169" s="13"/>
      <c r="D169" s="14" t="s">
        <v>118</v>
      </c>
      <c r="E169" s="23" t="s">
        <v>15</v>
      </c>
      <c r="F169" s="62" t="s">
        <v>15</v>
      </c>
      <c r="G169" s="25" t="s">
        <v>15</v>
      </c>
      <c r="H169" s="25" t="s">
        <v>15</v>
      </c>
      <c r="I169" s="25" t="s">
        <v>15</v>
      </c>
      <c r="J169" s="88" t="s">
        <v>15</v>
      </c>
      <c r="K169" s="62" t="s">
        <v>15</v>
      </c>
      <c r="L169" s="71" t="s">
        <v>15</v>
      </c>
      <c r="M169" s="71" t="s">
        <v>15</v>
      </c>
      <c r="N169" s="71">
        <v>216</v>
      </c>
      <c r="O169" s="71">
        <v>14</v>
      </c>
      <c r="P169" s="121">
        <v>0</v>
      </c>
      <c r="Q169" s="148">
        <v>0</v>
      </c>
      <c r="R169" s="114">
        <v>1671</v>
      </c>
      <c r="S169" s="115">
        <v>4331</v>
      </c>
      <c r="T169" s="158">
        <v>764</v>
      </c>
      <c r="U169" s="172">
        <v>5240</v>
      </c>
    </row>
    <row r="170" spans="1:21" x14ac:dyDescent="0.3">
      <c r="A170" s="8">
        <v>21</v>
      </c>
      <c r="B170" s="12"/>
      <c r="C170" s="13"/>
      <c r="D170" s="14" t="s">
        <v>119</v>
      </c>
      <c r="E170" s="23" t="s">
        <v>15</v>
      </c>
      <c r="F170" s="61">
        <v>77511</v>
      </c>
      <c r="G170" s="15">
        <v>60746</v>
      </c>
      <c r="H170" s="15">
        <f>384+37</f>
        <v>421</v>
      </c>
      <c r="I170" s="15">
        <f>12451+24961</f>
        <v>37412</v>
      </c>
      <c r="J170" s="88" t="s">
        <v>15</v>
      </c>
      <c r="K170" s="62" t="s">
        <v>15</v>
      </c>
      <c r="L170" s="71" t="s">
        <v>15</v>
      </c>
      <c r="M170" s="71" t="s">
        <v>15</v>
      </c>
      <c r="N170" s="71">
        <v>0</v>
      </c>
      <c r="O170" s="71">
        <v>0</v>
      </c>
      <c r="P170" s="121">
        <v>0</v>
      </c>
      <c r="Q170" s="148">
        <v>0</v>
      </c>
      <c r="R170" s="114">
        <v>0</v>
      </c>
      <c r="S170" s="115">
        <v>0</v>
      </c>
      <c r="T170" s="115">
        <v>0</v>
      </c>
      <c r="U170" s="115">
        <v>0</v>
      </c>
    </row>
    <row r="171" spans="1:21" x14ac:dyDescent="0.3">
      <c r="A171" s="8">
        <v>22</v>
      </c>
      <c r="B171" s="12"/>
      <c r="C171" s="13"/>
      <c r="D171" s="14" t="s">
        <v>120</v>
      </c>
      <c r="E171" s="15">
        <v>18530</v>
      </c>
      <c r="F171" s="63" t="s">
        <v>15</v>
      </c>
      <c r="G171" s="23" t="s">
        <v>15</v>
      </c>
      <c r="H171" s="25" t="s">
        <v>15</v>
      </c>
      <c r="I171" s="25" t="s">
        <v>15</v>
      </c>
      <c r="J171" s="88" t="s">
        <v>15</v>
      </c>
      <c r="K171" s="62" t="s">
        <v>15</v>
      </c>
      <c r="L171" s="71" t="s">
        <v>15</v>
      </c>
      <c r="M171" s="71" t="s">
        <v>15</v>
      </c>
      <c r="N171" s="71">
        <v>0</v>
      </c>
      <c r="O171" s="71">
        <v>0</v>
      </c>
      <c r="P171" s="121">
        <v>0</v>
      </c>
      <c r="Q171" s="148">
        <v>0</v>
      </c>
      <c r="R171" s="114">
        <v>0</v>
      </c>
      <c r="S171" s="115">
        <v>0</v>
      </c>
      <c r="T171" s="115">
        <v>0</v>
      </c>
      <c r="U171" s="115">
        <v>0</v>
      </c>
    </row>
    <row r="172" spans="1:21" x14ac:dyDescent="0.3">
      <c r="A172" s="8">
        <v>23</v>
      </c>
      <c r="B172" s="12"/>
      <c r="C172" s="13"/>
      <c r="D172" s="14" t="s">
        <v>121</v>
      </c>
      <c r="E172" s="15">
        <v>644</v>
      </c>
      <c r="F172" s="63" t="s">
        <v>15</v>
      </c>
      <c r="G172" s="23" t="s">
        <v>15</v>
      </c>
      <c r="H172" s="25" t="s">
        <v>15</v>
      </c>
      <c r="I172" s="25" t="s">
        <v>15</v>
      </c>
      <c r="J172" s="88" t="s">
        <v>15</v>
      </c>
      <c r="K172" s="62" t="s">
        <v>15</v>
      </c>
      <c r="L172" s="71" t="s">
        <v>15</v>
      </c>
      <c r="M172" s="71" t="s">
        <v>15</v>
      </c>
      <c r="N172" s="71">
        <v>0</v>
      </c>
      <c r="O172" s="71">
        <v>0</v>
      </c>
      <c r="P172" s="121">
        <v>0</v>
      </c>
      <c r="Q172" s="148">
        <v>0</v>
      </c>
      <c r="R172" s="114">
        <v>0</v>
      </c>
      <c r="S172" s="115">
        <v>0</v>
      </c>
      <c r="T172" s="115">
        <v>0</v>
      </c>
      <c r="U172" s="115">
        <v>0</v>
      </c>
    </row>
    <row r="173" spans="1:21" s="157" customFormat="1" x14ac:dyDescent="0.3">
      <c r="A173" s="8">
        <v>24</v>
      </c>
      <c r="B173" s="12"/>
      <c r="C173" s="13"/>
      <c r="D173" s="14" t="s">
        <v>122</v>
      </c>
      <c r="E173" s="15">
        <v>444</v>
      </c>
      <c r="F173" s="63" t="s">
        <v>15</v>
      </c>
      <c r="G173" s="23" t="s">
        <v>15</v>
      </c>
      <c r="H173" s="25" t="s">
        <v>15</v>
      </c>
      <c r="I173" s="23">
        <f>994+788</f>
        <v>1782</v>
      </c>
      <c r="J173" s="88" t="s">
        <v>15</v>
      </c>
      <c r="K173" s="62" t="s">
        <v>15</v>
      </c>
      <c r="L173" s="71" t="s">
        <v>15</v>
      </c>
      <c r="M173" s="71" t="s">
        <v>15</v>
      </c>
      <c r="N173" s="71">
        <v>0</v>
      </c>
      <c r="O173" s="71">
        <v>0</v>
      </c>
      <c r="P173" s="121">
        <v>0</v>
      </c>
      <c r="Q173" s="148">
        <v>0</v>
      </c>
      <c r="R173" s="114">
        <v>2</v>
      </c>
      <c r="S173" s="115">
        <v>247</v>
      </c>
      <c r="T173" s="115">
        <v>0</v>
      </c>
      <c r="U173" s="115">
        <v>0</v>
      </c>
    </row>
    <row r="174" spans="1:21" x14ac:dyDescent="0.3">
      <c r="A174" s="8">
        <v>25</v>
      </c>
      <c r="B174" s="12"/>
      <c r="C174" s="13"/>
      <c r="D174" s="14" t="s">
        <v>123</v>
      </c>
      <c r="E174" s="15">
        <v>2500</v>
      </c>
      <c r="F174" s="61">
        <v>7750</v>
      </c>
      <c r="G174" s="23" t="s">
        <v>15</v>
      </c>
      <c r="H174" s="23"/>
      <c r="I174" s="25" t="s">
        <v>15</v>
      </c>
      <c r="J174" s="89">
        <v>15000</v>
      </c>
      <c r="K174" s="62">
        <v>933</v>
      </c>
      <c r="L174" s="71" t="s">
        <v>15</v>
      </c>
      <c r="M174" s="71" t="s">
        <v>15</v>
      </c>
      <c r="N174" s="71">
        <v>0</v>
      </c>
      <c r="O174" s="71">
        <v>0</v>
      </c>
      <c r="P174" s="121">
        <v>0</v>
      </c>
      <c r="Q174" s="148">
        <v>0</v>
      </c>
      <c r="R174" s="114">
        <v>0</v>
      </c>
      <c r="S174" s="115">
        <v>0</v>
      </c>
      <c r="T174" s="115">
        <v>0</v>
      </c>
      <c r="U174" s="115">
        <v>0</v>
      </c>
    </row>
    <row r="175" spans="1:21" x14ac:dyDescent="0.3">
      <c r="A175" s="8">
        <v>26</v>
      </c>
      <c r="B175" s="12"/>
      <c r="C175" s="13"/>
      <c r="D175" s="14" t="s">
        <v>124</v>
      </c>
      <c r="E175" s="15">
        <v>10500</v>
      </c>
      <c r="F175" s="61">
        <v>500</v>
      </c>
      <c r="G175" s="15">
        <v>145142</v>
      </c>
      <c r="H175" s="15">
        <f>30083+41500</f>
        <v>71583</v>
      </c>
      <c r="I175" s="23" t="s">
        <v>15</v>
      </c>
      <c r="J175" s="38">
        <v>40000</v>
      </c>
      <c r="K175" s="63">
        <v>5859</v>
      </c>
      <c r="L175" s="71" t="s">
        <v>15</v>
      </c>
      <c r="M175" s="71" t="s">
        <v>15</v>
      </c>
      <c r="N175" s="71">
        <v>0</v>
      </c>
      <c r="O175" s="71">
        <v>0</v>
      </c>
      <c r="P175" s="121">
        <v>0</v>
      </c>
      <c r="Q175" s="148">
        <v>0</v>
      </c>
      <c r="R175" s="114">
        <v>0</v>
      </c>
      <c r="S175" s="115">
        <v>0</v>
      </c>
      <c r="T175" s="115">
        <v>0</v>
      </c>
      <c r="U175" s="115">
        <v>0</v>
      </c>
    </row>
    <row r="176" spans="1:21" x14ac:dyDescent="0.3">
      <c r="A176" s="8">
        <v>27</v>
      </c>
      <c r="B176" s="12"/>
      <c r="C176" s="13"/>
      <c r="D176" s="14" t="s">
        <v>125</v>
      </c>
      <c r="E176" s="15">
        <v>4965</v>
      </c>
      <c r="F176" s="63" t="s">
        <v>15</v>
      </c>
      <c r="G176" s="23" t="s">
        <v>15</v>
      </c>
      <c r="H176" s="23" t="s">
        <v>15</v>
      </c>
      <c r="I176" s="23" t="s">
        <v>15</v>
      </c>
      <c r="J176" s="88" t="s">
        <v>15</v>
      </c>
      <c r="K176" s="62" t="s">
        <v>15</v>
      </c>
      <c r="L176" s="71" t="s">
        <v>15</v>
      </c>
      <c r="M176" s="71" t="s">
        <v>15</v>
      </c>
      <c r="N176" s="71">
        <v>0</v>
      </c>
      <c r="O176" s="71">
        <v>0</v>
      </c>
      <c r="P176" s="121">
        <v>0</v>
      </c>
      <c r="Q176" s="148">
        <v>0</v>
      </c>
      <c r="R176" s="114">
        <v>0</v>
      </c>
      <c r="S176" s="115">
        <v>0</v>
      </c>
      <c r="T176" s="115">
        <v>0</v>
      </c>
      <c r="U176" s="115">
        <v>0</v>
      </c>
    </row>
    <row r="177" spans="1:21" x14ac:dyDescent="0.3">
      <c r="A177" s="8">
        <v>28</v>
      </c>
      <c r="B177" s="12"/>
      <c r="C177" s="13"/>
      <c r="D177" s="14" t="s">
        <v>126</v>
      </c>
      <c r="E177" s="15">
        <v>5053</v>
      </c>
      <c r="F177" s="61">
        <v>7500</v>
      </c>
      <c r="G177" s="15">
        <v>25668</v>
      </c>
      <c r="H177" s="15">
        <f>10294+10295</f>
        <v>20589</v>
      </c>
      <c r="I177" s="15">
        <f>300+682</f>
        <v>982</v>
      </c>
      <c r="J177" s="38">
        <v>25850</v>
      </c>
      <c r="K177" s="61">
        <v>995</v>
      </c>
      <c r="L177" s="71" t="s">
        <v>15</v>
      </c>
      <c r="M177" s="71" t="s">
        <v>15</v>
      </c>
      <c r="N177" s="71">
        <v>0</v>
      </c>
      <c r="O177" s="71">
        <v>0</v>
      </c>
      <c r="P177" s="121">
        <v>0</v>
      </c>
      <c r="Q177" s="148">
        <v>0</v>
      </c>
      <c r="R177" s="114">
        <v>0</v>
      </c>
      <c r="S177" s="115">
        <v>0</v>
      </c>
      <c r="T177" s="115">
        <v>0</v>
      </c>
      <c r="U177" s="115">
        <v>0</v>
      </c>
    </row>
    <row r="178" spans="1:21" x14ac:dyDescent="0.3">
      <c r="A178" s="8">
        <v>29</v>
      </c>
      <c r="B178" s="12"/>
      <c r="C178" s="13"/>
      <c r="D178" s="14" t="s">
        <v>127</v>
      </c>
      <c r="E178" s="23" t="s">
        <v>15</v>
      </c>
      <c r="F178" s="61">
        <v>159</v>
      </c>
      <c r="G178" s="23" t="s">
        <v>15</v>
      </c>
      <c r="H178" s="23" t="s">
        <v>15</v>
      </c>
      <c r="I178" s="23" t="s">
        <v>15</v>
      </c>
      <c r="J178" s="88" t="s">
        <v>15</v>
      </c>
      <c r="K178" s="62" t="s">
        <v>15</v>
      </c>
      <c r="L178" s="71" t="s">
        <v>15</v>
      </c>
      <c r="M178" s="71" t="s">
        <v>15</v>
      </c>
      <c r="N178" s="71">
        <v>0</v>
      </c>
      <c r="O178" s="71">
        <v>0</v>
      </c>
      <c r="P178" s="121">
        <v>0</v>
      </c>
      <c r="Q178" s="148">
        <v>0</v>
      </c>
      <c r="R178" s="114">
        <v>0</v>
      </c>
      <c r="S178" s="115">
        <v>0</v>
      </c>
      <c r="T178" s="115">
        <v>0</v>
      </c>
      <c r="U178" s="115">
        <v>0</v>
      </c>
    </row>
    <row r="179" spans="1:21" x14ac:dyDescent="0.3">
      <c r="A179" s="8">
        <v>30</v>
      </c>
      <c r="B179" s="12"/>
      <c r="C179" s="13"/>
      <c r="D179" s="14" t="s">
        <v>128</v>
      </c>
      <c r="E179" s="23" t="s">
        <v>15</v>
      </c>
      <c r="F179" s="61">
        <v>5250</v>
      </c>
      <c r="G179" s="15">
        <v>13126</v>
      </c>
      <c r="H179" s="15">
        <f>6747+8246</f>
        <v>14993</v>
      </c>
      <c r="I179" s="15">
        <f>10+10</f>
        <v>20</v>
      </c>
      <c r="J179" s="38">
        <v>20000</v>
      </c>
      <c r="K179" s="61">
        <v>100</v>
      </c>
      <c r="L179" s="71" t="s">
        <v>15</v>
      </c>
      <c r="M179" s="71" t="s">
        <v>15</v>
      </c>
      <c r="N179" s="71">
        <v>0</v>
      </c>
      <c r="O179" s="71">
        <v>0</v>
      </c>
      <c r="P179" s="121">
        <v>0</v>
      </c>
      <c r="Q179" s="148">
        <v>0</v>
      </c>
      <c r="R179" s="114">
        <v>0</v>
      </c>
      <c r="S179" s="115">
        <v>0</v>
      </c>
      <c r="T179" s="115">
        <v>0</v>
      </c>
      <c r="U179" s="115">
        <v>0</v>
      </c>
    </row>
    <row r="180" spans="1:21" x14ac:dyDescent="0.3">
      <c r="A180" s="8">
        <v>31</v>
      </c>
      <c r="B180" s="12"/>
      <c r="C180" s="13"/>
      <c r="D180" s="14" t="s">
        <v>129</v>
      </c>
      <c r="E180" s="23" t="s">
        <v>15</v>
      </c>
      <c r="F180" s="61">
        <v>150</v>
      </c>
      <c r="G180" s="23" t="s">
        <v>15</v>
      </c>
      <c r="H180" s="25" t="s">
        <v>15</v>
      </c>
      <c r="I180" s="25" t="s">
        <v>15</v>
      </c>
      <c r="J180" s="88" t="s">
        <v>15</v>
      </c>
      <c r="K180" s="62" t="s">
        <v>15</v>
      </c>
      <c r="L180" s="71" t="s">
        <v>15</v>
      </c>
      <c r="M180" s="71" t="s">
        <v>15</v>
      </c>
      <c r="N180" s="71">
        <v>0</v>
      </c>
      <c r="O180" s="71">
        <v>0</v>
      </c>
      <c r="P180" s="121">
        <v>0</v>
      </c>
      <c r="Q180" s="148">
        <v>0</v>
      </c>
      <c r="R180" s="114">
        <v>0</v>
      </c>
      <c r="S180" s="115">
        <v>0</v>
      </c>
      <c r="T180" s="115">
        <v>0</v>
      </c>
      <c r="U180" s="115">
        <v>0</v>
      </c>
    </row>
    <row r="181" spans="1:21" x14ac:dyDescent="0.3">
      <c r="A181" s="8">
        <v>32</v>
      </c>
      <c r="B181" s="12"/>
      <c r="C181" s="13"/>
      <c r="D181" s="14" t="s">
        <v>130</v>
      </c>
      <c r="E181" s="23" t="s">
        <v>15</v>
      </c>
      <c r="F181" s="63" t="s">
        <v>15</v>
      </c>
      <c r="G181" s="15">
        <v>9212</v>
      </c>
      <c r="H181" s="25" t="s">
        <v>15</v>
      </c>
      <c r="I181" s="25" t="s">
        <v>15</v>
      </c>
      <c r="J181" s="88" t="s">
        <v>15</v>
      </c>
      <c r="K181" s="62" t="s">
        <v>15</v>
      </c>
      <c r="L181" s="71" t="s">
        <v>15</v>
      </c>
      <c r="M181" s="71" t="s">
        <v>15</v>
      </c>
      <c r="N181" s="71">
        <v>0</v>
      </c>
      <c r="O181" s="71">
        <v>0</v>
      </c>
      <c r="P181" s="121">
        <v>0</v>
      </c>
      <c r="Q181" s="148">
        <v>0</v>
      </c>
      <c r="R181" s="114">
        <v>0</v>
      </c>
      <c r="S181" s="115">
        <v>0</v>
      </c>
      <c r="T181" s="115">
        <v>0</v>
      </c>
      <c r="U181" s="115">
        <v>0</v>
      </c>
    </row>
    <row r="182" spans="1:21" x14ac:dyDescent="0.3">
      <c r="A182" s="8">
        <v>33</v>
      </c>
      <c r="B182" s="12"/>
      <c r="C182" s="13"/>
      <c r="D182" s="14" t="s">
        <v>131</v>
      </c>
      <c r="E182" s="23" t="s">
        <v>15</v>
      </c>
      <c r="F182" s="63" t="s">
        <v>15</v>
      </c>
      <c r="G182" s="15">
        <v>57696</v>
      </c>
      <c r="H182" s="15">
        <f>38200+19496</f>
        <v>57696</v>
      </c>
      <c r="I182" s="25" t="s">
        <v>15</v>
      </c>
      <c r="J182" s="88" t="s">
        <v>15</v>
      </c>
      <c r="K182" s="62" t="s">
        <v>15</v>
      </c>
      <c r="L182" s="71" t="s">
        <v>15</v>
      </c>
      <c r="M182" s="71" t="s">
        <v>15</v>
      </c>
      <c r="N182" s="71">
        <v>0</v>
      </c>
      <c r="O182" s="71">
        <v>0</v>
      </c>
      <c r="P182" s="121">
        <v>0</v>
      </c>
      <c r="Q182" s="148">
        <v>0</v>
      </c>
      <c r="R182" s="114">
        <v>0</v>
      </c>
      <c r="S182" s="115">
        <v>0</v>
      </c>
      <c r="T182" s="115">
        <v>0</v>
      </c>
      <c r="U182" s="115">
        <v>0</v>
      </c>
    </row>
    <row r="183" spans="1:21" s="157" customFormat="1" x14ac:dyDescent="0.3">
      <c r="A183" s="8">
        <v>34</v>
      </c>
      <c r="B183" s="12"/>
      <c r="C183" s="13"/>
      <c r="D183" s="14" t="s">
        <v>132</v>
      </c>
      <c r="E183" s="23" t="s">
        <v>15</v>
      </c>
      <c r="F183" s="63" t="s">
        <v>15</v>
      </c>
      <c r="G183" s="23" t="s">
        <v>15</v>
      </c>
      <c r="H183" s="15">
        <f>3524+2476</f>
        <v>6000</v>
      </c>
      <c r="I183" s="15">
        <f>18100+18000</f>
        <v>36100</v>
      </c>
      <c r="J183" s="38">
        <v>27456</v>
      </c>
      <c r="K183" s="61">
        <v>18647</v>
      </c>
      <c r="L183" s="151">
        <v>5281</v>
      </c>
      <c r="M183" s="75">
        <v>3951</v>
      </c>
      <c r="N183" s="151">
        <v>79</v>
      </c>
      <c r="O183" s="75">
        <v>189</v>
      </c>
      <c r="P183" s="121">
        <v>600</v>
      </c>
      <c r="Q183" s="148">
        <v>2264</v>
      </c>
      <c r="R183" s="114">
        <v>6672</v>
      </c>
      <c r="S183" s="115">
        <v>10459</v>
      </c>
      <c r="T183" s="171">
        <v>3384</v>
      </c>
      <c r="U183" s="172">
        <v>19292</v>
      </c>
    </row>
    <row r="184" spans="1:21" x14ac:dyDescent="0.3">
      <c r="A184" s="8">
        <v>35</v>
      </c>
      <c r="B184" s="12"/>
      <c r="C184" s="13"/>
      <c r="D184" s="14" t="s">
        <v>133</v>
      </c>
      <c r="E184" s="23" t="s">
        <v>15</v>
      </c>
      <c r="F184" s="63" t="s">
        <v>15</v>
      </c>
      <c r="G184" s="23" t="s">
        <v>15</v>
      </c>
      <c r="H184" s="15">
        <f>867+651</f>
        <v>1518</v>
      </c>
      <c r="I184" s="15">
        <f>5841+3196</f>
        <v>9037</v>
      </c>
      <c r="J184" s="38">
        <v>7205</v>
      </c>
      <c r="K184" s="61">
        <v>3382</v>
      </c>
      <c r="L184" s="151">
        <v>691</v>
      </c>
      <c r="M184" s="75">
        <v>755</v>
      </c>
      <c r="N184" s="151">
        <v>0</v>
      </c>
      <c r="O184" s="75">
        <v>0</v>
      </c>
      <c r="P184" s="121">
        <v>0</v>
      </c>
      <c r="Q184" s="148">
        <v>0</v>
      </c>
      <c r="R184" s="114">
        <v>0</v>
      </c>
      <c r="S184" s="115">
        <v>0</v>
      </c>
      <c r="T184" s="115">
        <v>0</v>
      </c>
      <c r="U184" s="115">
        <v>0</v>
      </c>
    </row>
    <row r="185" spans="1:21" x14ac:dyDescent="0.3">
      <c r="A185" s="8">
        <v>36</v>
      </c>
      <c r="B185" s="12"/>
      <c r="C185" s="13"/>
      <c r="D185" s="14" t="s">
        <v>134</v>
      </c>
      <c r="E185" s="23" t="s">
        <v>15</v>
      </c>
      <c r="F185" s="63" t="s">
        <v>15</v>
      </c>
      <c r="G185" s="23" t="s">
        <v>15</v>
      </c>
      <c r="H185" s="15">
        <f>38</f>
        <v>38</v>
      </c>
      <c r="I185" s="15">
        <f>518+501</f>
        <v>1019</v>
      </c>
      <c r="J185" s="38">
        <v>2589</v>
      </c>
      <c r="K185" s="61">
        <v>278</v>
      </c>
      <c r="L185" s="151">
        <v>180</v>
      </c>
      <c r="M185" s="75">
        <v>103</v>
      </c>
      <c r="N185" s="151">
        <v>0</v>
      </c>
      <c r="O185" s="75">
        <v>0</v>
      </c>
      <c r="P185" s="121">
        <v>0</v>
      </c>
      <c r="Q185" s="148">
        <v>0</v>
      </c>
      <c r="R185" s="114">
        <v>0</v>
      </c>
      <c r="S185" s="115">
        <v>0</v>
      </c>
      <c r="T185" s="115">
        <v>0</v>
      </c>
      <c r="U185" s="115">
        <v>0</v>
      </c>
    </row>
    <row r="186" spans="1:21" x14ac:dyDescent="0.3">
      <c r="A186" s="8">
        <v>37</v>
      </c>
      <c r="B186" s="12"/>
      <c r="C186" s="13"/>
      <c r="D186" s="14" t="s">
        <v>135</v>
      </c>
      <c r="E186" s="23" t="s">
        <v>15</v>
      </c>
      <c r="F186" s="63" t="s">
        <v>15</v>
      </c>
      <c r="G186" s="23" t="s">
        <v>15</v>
      </c>
      <c r="H186" s="23" t="s">
        <v>15</v>
      </c>
      <c r="I186" s="15">
        <f>22156+11825</f>
        <v>33981</v>
      </c>
      <c r="J186" s="89">
        <v>832</v>
      </c>
      <c r="K186" s="61">
        <v>9186</v>
      </c>
      <c r="L186" s="71" t="s">
        <v>15</v>
      </c>
      <c r="M186" s="71" t="s">
        <v>15</v>
      </c>
      <c r="N186" s="71">
        <v>0</v>
      </c>
      <c r="O186" s="71">
        <v>0</v>
      </c>
      <c r="P186" s="121">
        <v>0</v>
      </c>
      <c r="Q186" s="148">
        <v>4091</v>
      </c>
      <c r="R186" s="114">
        <v>0</v>
      </c>
      <c r="S186" s="114">
        <v>0</v>
      </c>
      <c r="T186" s="114">
        <v>0</v>
      </c>
      <c r="U186" s="114">
        <v>0</v>
      </c>
    </row>
    <row r="187" spans="1:21" x14ac:dyDescent="0.3">
      <c r="A187" s="8">
        <v>38</v>
      </c>
      <c r="B187" s="12"/>
      <c r="C187" s="13"/>
      <c r="D187" s="14" t="s">
        <v>136</v>
      </c>
      <c r="E187" s="23" t="s">
        <v>15</v>
      </c>
      <c r="F187" s="63" t="s">
        <v>15</v>
      </c>
      <c r="G187" s="23" t="s">
        <v>15</v>
      </c>
      <c r="H187" s="23" t="s">
        <v>15</v>
      </c>
      <c r="I187" s="15">
        <f>2008+2101</f>
        <v>4109</v>
      </c>
      <c r="J187" s="88" t="s">
        <v>15</v>
      </c>
      <c r="K187" s="62" t="s">
        <v>15</v>
      </c>
      <c r="L187" s="71" t="s">
        <v>15</v>
      </c>
      <c r="M187" s="71" t="s">
        <v>15</v>
      </c>
      <c r="N187" s="71">
        <v>0</v>
      </c>
      <c r="O187" s="71">
        <v>0</v>
      </c>
      <c r="P187" s="121">
        <v>0</v>
      </c>
      <c r="Q187" s="148">
        <v>0</v>
      </c>
      <c r="R187" s="114">
        <v>0</v>
      </c>
      <c r="S187" s="115">
        <v>0</v>
      </c>
      <c r="T187" s="115">
        <v>0</v>
      </c>
      <c r="U187" s="115">
        <v>0</v>
      </c>
    </row>
    <row r="188" spans="1:21" x14ac:dyDescent="0.3">
      <c r="A188" s="8">
        <v>39</v>
      </c>
      <c r="B188" s="12"/>
      <c r="C188" s="13"/>
      <c r="D188" s="14" t="s">
        <v>137</v>
      </c>
      <c r="E188" s="23" t="s">
        <v>15</v>
      </c>
      <c r="F188" s="63" t="s">
        <v>15</v>
      </c>
      <c r="G188" s="23" t="s">
        <v>15</v>
      </c>
      <c r="H188" s="23" t="s">
        <v>15</v>
      </c>
      <c r="I188" s="15">
        <f>1231+1216</f>
        <v>2447</v>
      </c>
      <c r="J188" s="88" t="s">
        <v>15</v>
      </c>
      <c r="K188" s="62" t="s">
        <v>15</v>
      </c>
      <c r="L188" s="71" t="s">
        <v>15</v>
      </c>
      <c r="M188" s="71" t="s">
        <v>15</v>
      </c>
      <c r="N188" s="71">
        <v>0</v>
      </c>
      <c r="O188" s="71">
        <v>0</v>
      </c>
      <c r="P188" s="121">
        <v>0</v>
      </c>
      <c r="Q188" s="148">
        <v>0</v>
      </c>
      <c r="R188" s="114">
        <v>0</v>
      </c>
      <c r="S188" s="115">
        <v>0</v>
      </c>
      <c r="T188" s="115">
        <v>0</v>
      </c>
      <c r="U188" s="115">
        <v>0</v>
      </c>
    </row>
    <row r="189" spans="1:21" x14ac:dyDescent="0.3">
      <c r="A189" s="8">
        <v>40</v>
      </c>
      <c r="B189" s="12"/>
      <c r="C189" s="13"/>
      <c r="D189" s="14" t="s">
        <v>138</v>
      </c>
      <c r="E189" s="23" t="s">
        <v>15</v>
      </c>
      <c r="F189" s="63" t="s">
        <v>15</v>
      </c>
      <c r="G189" s="23" t="s">
        <v>15</v>
      </c>
      <c r="H189" s="15">
        <f>8964+3036</f>
        <v>12000</v>
      </c>
      <c r="I189" s="15">
        <f>198+200</f>
        <v>398</v>
      </c>
      <c r="J189" s="38">
        <v>15000</v>
      </c>
      <c r="K189" s="61">
        <v>245</v>
      </c>
      <c r="L189" s="71" t="s">
        <v>15</v>
      </c>
      <c r="M189" s="71" t="s">
        <v>15</v>
      </c>
      <c r="N189" s="71">
        <v>0</v>
      </c>
      <c r="O189" s="71">
        <v>0</v>
      </c>
      <c r="P189" s="121">
        <v>0</v>
      </c>
      <c r="Q189" s="148">
        <v>0</v>
      </c>
      <c r="R189" s="114">
        <v>0</v>
      </c>
      <c r="S189" s="114">
        <v>0</v>
      </c>
      <c r="T189" s="114">
        <v>0</v>
      </c>
      <c r="U189" s="114">
        <v>0</v>
      </c>
    </row>
    <row r="190" spans="1:21" s="157" customFormat="1" x14ac:dyDescent="0.3">
      <c r="A190" s="8">
        <v>41</v>
      </c>
      <c r="B190" s="12"/>
      <c r="C190" s="13"/>
      <c r="D190" s="14" t="s">
        <v>139</v>
      </c>
      <c r="E190" s="23" t="s">
        <v>15</v>
      </c>
      <c r="F190" s="63" t="s">
        <v>15</v>
      </c>
      <c r="G190" s="23" t="s">
        <v>15</v>
      </c>
      <c r="H190" s="15">
        <f>14065+10666</f>
        <v>24731</v>
      </c>
      <c r="I190" s="15">
        <f>300+450</f>
        <v>750</v>
      </c>
      <c r="J190" s="38">
        <v>24000</v>
      </c>
      <c r="K190" s="61">
        <v>1481</v>
      </c>
      <c r="L190" s="71" t="s">
        <v>15</v>
      </c>
      <c r="M190" s="71" t="s">
        <v>15</v>
      </c>
      <c r="N190" s="71">
        <v>0</v>
      </c>
      <c r="O190" s="71">
        <v>0</v>
      </c>
      <c r="P190" s="121">
        <v>0</v>
      </c>
      <c r="Q190" s="148">
        <v>0</v>
      </c>
      <c r="R190" s="114">
        <v>577</v>
      </c>
      <c r="S190" s="115">
        <v>3804</v>
      </c>
      <c r="T190" s="114">
        <v>0</v>
      </c>
      <c r="U190" s="114">
        <v>0</v>
      </c>
    </row>
    <row r="191" spans="1:21" x14ac:dyDescent="0.3">
      <c r="A191" s="8">
        <v>42</v>
      </c>
      <c r="B191" s="12"/>
      <c r="C191" s="13"/>
      <c r="D191" s="14" t="s">
        <v>140</v>
      </c>
      <c r="E191" s="23" t="s">
        <v>15</v>
      </c>
      <c r="F191" s="63" t="s">
        <v>15</v>
      </c>
      <c r="G191" s="23" t="s">
        <v>15</v>
      </c>
      <c r="H191" s="15">
        <f>49889+50190</f>
        <v>100079</v>
      </c>
      <c r="I191" s="15">
        <f>28147+27874</f>
        <v>56021</v>
      </c>
      <c r="J191" s="38">
        <v>14839</v>
      </c>
      <c r="K191" s="61">
        <v>6825</v>
      </c>
      <c r="L191" s="71" t="s">
        <v>15</v>
      </c>
      <c r="M191" s="71" t="s">
        <v>15</v>
      </c>
      <c r="N191" s="71">
        <v>0</v>
      </c>
      <c r="O191" s="71">
        <v>0</v>
      </c>
      <c r="P191" s="121">
        <v>0</v>
      </c>
      <c r="Q191" s="148">
        <v>0</v>
      </c>
      <c r="R191" s="114">
        <v>0</v>
      </c>
      <c r="S191" s="115">
        <v>0</v>
      </c>
      <c r="T191" s="114">
        <v>0</v>
      </c>
      <c r="U191" s="114">
        <v>0</v>
      </c>
    </row>
    <row r="192" spans="1:21" s="157" customFormat="1" x14ac:dyDescent="0.3">
      <c r="A192" s="8">
        <v>43</v>
      </c>
      <c r="B192" s="12"/>
      <c r="C192" s="13"/>
      <c r="D192" s="14" t="s">
        <v>219</v>
      </c>
      <c r="E192" s="23" t="s">
        <v>15</v>
      </c>
      <c r="F192" s="23" t="s">
        <v>15</v>
      </c>
      <c r="G192" s="23" t="s">
        <v>15</v>
      </c>
      <c r="H192" s="23" t="s">
        <v>15</v>
      </c>
      <c r="I192" s="23" t="s">
        <v>15</v>
      </c>
      <c r="J192" s="23" t="s">
        <v>15</v>
      </c>
      <c r="K192" s="23" t="s">
        <v>15</v>
      </c>
      <c r="L192" s="71">
        <v>0</v>
      </c>
      <c r="M192" s="71">
        <v>0</v>
      </c>
      <c r="N192" s="71">
        <v>3209</v>
      </c>
      <c r="O192" s="71">
        <v>0</v>
      </c>
      <c r="P192" s="121">
        <v>0</v>
      </c>
      <c r="Q192" s="148">
        <v>0</v>
      </c>
      <c r="R192" s="114">
        <v>32341</v>
      </c>
      <c r="S192" s="115">
        <v>196</v>
      </c>
      <c r="T192" s="171">
        <v>51670</v>
      </c>
      <c r="U192" s="159">
        <v>96</v>
      </c>
    </row>
    <row r="193" spans="1:21" s="157" customFormat="1" x14ac:dyDescent="0.3">
      <c r="A193" s="8">
        <v>44</v>
      </c>
      <c r="B193" s="12"/>
      <c r="C193" s="13"/>
      <c r="D193" s="14" t="s">
        <v>220</v>
      </c>
      <c r="E193" s="23" t="s">
        <v>15</v>
      </c>
      <c r="F193" s="23" t="s">
        <v>15</v>
      </c>
      <c r="G193" s="23" t="s">
        <v>15</v>
      </c>
      <c r="H193" s="23" t="s">
        <v>15</v>
      </c>
      <c r="I193" s="23" t="s">
        <v>15</v>
      </c>
      <c r="J193" s="23" t="s">
        <v>15</v>
      </c>
      <c r="K193" s="23" t="s">
        <v>15</v>
      </c>
      <c r="L193" s="71">
        <v>0</v>
      </c>
      <c r="M193" s="71">
        <v>0</v>
      </c>
      <c r="N193" s="71">
        <v>1705</v>
      </c>
      <c r="O193" s="71">
        <v>0</v>
      </c>
      <c r="P193" s="121">
        <v>3323</v>
      </c>
      <c r="Q193" s="148">
        <v>0</v>
      </c>
      <c r="R193" s="114">
        <v>12487</v>
      </c>
      <c r="S193" s="115">
        <v>0</v>
      </c>
      <c r="T193" s="171">
        <v>6331</v>
      </c>
      <c r="U193" s="174">
        <v>0</v>
      </c>
    </row>
    <row r="194" spans="1:21" s="157" customFormat="1" x14ac:dyDescent="0.3">
      <c r="A194" s="8">
        <v>45</v>
      </c>
      <c r="B194" s="12"/>
      <c r="C194" s="13"/>
      <c r="D194" s="14" t="s">
        <v>284</v>
      </c>
      <c r="E194" s="23" t="s">
        <v>15</v>
      </c>
      <c r="F194" s="23" t="s">
        <v>15</v>
      </c>
      <c r="G194" s="23" t="s">
        <v>15</v>
      </c>
      <c r="H194" s="23" t="s">
        <v>15</v>
      </c>
      <c r="I194" s="23" t="s">
        <v>15</v>
      </c>
      <c r="J194" s="23" t="s">
        <v>15</v>
      </c>
      <c r="K194" s="23" t="s">
        <v>15</v>
      </c>
      <c r="L194" s="151">
        <v>0</v>
      </c>
      <c r="M194" s="75">
        <v>0</v>
      </c>
      <c r="N194" s="151">
        <v>2106</v>
      </c>
      <c r="O194" s="75">
        <v>78</v>
      </c>
      <c r="P194" s="121">
        <v>4276</v>
      </c>
      <c r="Q194" s="148">
        <v>23154</v>
      </c>
      <c r="R194" s="114">
        <v>6941</v>
      </c>
      <c r="S194" s="115">
        <v>56451</v>
      </c>
      <c r="T194" s="171">
        <v>10697</v>
      </c>
      <c r="U194" s="172">
        <v>70805</v>
      </c>
    </row>
    <row r="195" spans="1:21" s="157" customFormat="1" x14ac:dyDescent="0.3">
      <c r="A195" s="8">
        <v>46</v>
      </c>
      <c r="B195" s="12"/>
      <c r="C195" s="13"/>
      <c r="D195" s="14" t="s">
        <v>221</v>
      </c>
      <c r="E195" s="23" t="s">
        <v>15</v>
      </c>
      <c r="F195" s="23" t="s">
        <v>15</v>
      </c>
      <c r="G195" s="23" t="s">
        <v>15</v>
      </c>
      <c r="H195" s="23" t="s">
        <v>15</v>
      </c>
      <c r="I195" s="23" t="s">
        <v>15</v>
      </c>
      <c r="J195" s="23" t="s">
        <v>15</v>
      </c>
      <c r="K195" s="23" t="s">
        <v>15</v>
      </c>
      <c r="L195" s="151">
        <v>0</v>
      </c>
      <c r="M195" s="75">
        <v>0</v>
      </c>
      <c r="N195" s="151">
        <v>0</v>
      </c>
      <c r="O195" s="75">
        <v>0</v>
      </c>
      <c r="P195" s="121">
        <v>4616</v>
      </c>
      <c r="Q195" s="148">
        <v>6776</v>
      </c>
      <c r="R195" s="114">
        <v>1508</v>
      </c>
      <c r="S195" s="115">
        <v>25386</v>
      </c>
      <c r="T195" s="171">
        <v>1317</v>
      </c>
      <c r="U195" s="172">
        <v>29128</v>
      </c>
    </row>
    <row r="196" spans="1:21" s="157" customFormat="1" x14ac:dyDescent="0.3">
      <c r="A196" s="8">
        <v>47</v>
      </c>
      <c r="B196" s="12"/>
      <c r="C196" s="13"/>
      <c r="D196" s="14" t="s">
        <v>286</v>
      </c>
      <c r="E196" s="23" t="s">
        <v>15</v>
      </c>
      <c r="F196" s="23" t="s">
        <v>15</v>
      </c>
      <c r="G196" s="23" t="s">
        <v>15</v>
      </c>
      <c r="H196" s="23" t="s">
        <v>15</v>
      </c>
      <c r="I196" s="23" t="s">
        <v>15</v>
      </c>
      <c r="J196" s="23" t="s">
        <v>15</v>
      </c>
      <c r="K196" s="23" t="s">
        <v>15</v>
      </c>
      <c r="L196" s="151">
        <v>0</v>
      </c>
      <c r="M196" s="75">
        <v>0</v>
      </c>
      <c r="N196" s="151">
        <v>347</v>
      </c>
      <c r="O196" s="75">
        <v>446</v>
      </c>
      <c r="P196" s="121">
        <v>255</v>
      </c>
      <c r="Q196" s="148">
        <v>351</v>
      </c>
      <c r="R196" s="114">
        <v>3572</v>
      </c>
      <c r="S196" s="115">
        <v>67951</v>
      </c>
      <c r="T196" s="171">
        <v>2862</v>
      </c>
      <c r="U196" s="172">
        <v>57101</v>
      </c>
    </row>
    <row r="197" spans="1:21" s="157" customFormat="1" x14ac:dyDescent="0.3">
      <c r="A197" s="8">
        <v>48</v>
      </c>
      <c r="B197" s="12"/>
      <c r="C197" s="13"/>
      <c r="D197" s="14" t="s">
        <v>222</v>
      </c>
      <c r="E197" s="23" t="s">
        <v>15</v>
      </c>
      <c r="F197" s="23" t="s">
        <v>15</v>
      </c>
      <c r="G197" s="23" t="s">
        <v>15</v>
      </c>
      <c r="H197" s="23" t="s">
        <v>15</v>
      </c>
      <c r="I197" s="23" t="s">
        <v>15</v>
      </c>
      <c r="J197" s="23" t="s">
        <v>15</v>
      </c>
      <c r="K197" s="23" t="s">
        <v>15</v>
      </c>
      <c r="L197" s="71">
        <v>0</v>
      </c>
      <c r="M197" s="71">
        <v>0</v>
      </c>
      <c r="N197" s="71">
        <v>53</v>
      </c>
      <c r="O197" s="71">
        <v>3</v>
      </c>
      <c r="P197" s="121">
        <v>3079</v>
      </c>
      <c r="Q197" s="148">
        <v>132</v>
      </c>
      <c r="R197" s="114">
        <v>5521</v>
      </c>
      <c r="S197" s="115">
        <v>1053</v>
      </c>
      <c r="T197" s="171">
        <v>1436</v>
      </c>
      <c r="U197" s="171">
        <v>1425</v>
      </c>
    </row>
    <row r="198" spans="1:21" s="157" customFormat="1" x14ac:dyDescent="0.3">
      <c r="A198" s="8">
        <v>49</v>
      </c>
      <c r="B198" s="12"/>
      <c r="C198" s="13"/>
      <c r="D198" s="14" t="s">
        <v>223</v>
      </c>
      <c r="E198" s="23" t="s">
        <v>15</v>
      </c>
      <c r="F198" s="23" t="s">
        <v>15</v>
      </c>
      <c r="G198" s="23" t="s">
        <v>15</v>
      </c>
      <c r="H198" s="23" t="s">
        <v>15</v>
      </c>
      <c r="I198" s="23" t="s">
        <v>15</v>
      </c>
      <c r="J198" s="23" t="s">
        <v>15</v>
      </c>
      <c r="K198" s="23" t="s">
        <v>15</v>
      </c>
      <c r="L198" s="71">
        <v>0</v>
      </c>
      <c r="M198" s="71">
        <v>0</v>
      </c>
      <c r="N198" s="71">
        <v>870</v>
      </c>
      <c r="O198" s="71">
        <v>0</v>
      </c>
      <c r="P198" s="121">
        <v>16259</v>
      </c>
      <c r="Q198" s="148">
        <v>10723</v>
      </c>
      <c r="R198" s="114">
        <v>64576</v>
      </c>
      <c r="S198" s="115">
        <v>61404</v>
      </c>
      <c r="T198" s="171">
        <v>71421</v>
      </c>
      <c r="U198" s="172">
        <v>127873</v>
      </c>
    </row>
    <row r="199" spans="1:21" s="157" customFormat="1" x14ac:dyDescent="0.3">
      <c r="A199" s="8">
        <v>50</v>
      </c>
      <c r="B199" s="12"/>
      <c r="C199" s="13"/>
      <c r="D199" s="14" t="s">
        <v>224</v>
      </c>
      <c r="E199" s="23" t="s">
        <v>15</v>
      </c>
      <c r="F199" s="23" t="s">
        <v>15</v>
      </c>
      <c r="G199" s="23" t="s">
        <v>15</v>
      </c>
      <c r="H199" s="23" t="s">
        <v>15</v>
      </c>
      <c r="I199" s="23" t="s">
        <v>15</v>
      </c>
      <c r="J199" s="23" t="s">
        <v>15</v>
      </c>
      <c r="K199" s="23" t="s">
        <v>15</v>
      </c>
      <c r="L199" s="71">
        <v>0</v>
      </c>
      <c r="M199" s="71">
        <v>0</v>
      </c>
      <c r="N199" s="71">
        <v>7116</v>
      </c>
      <c r="O199" s="71">
        <v>0</v>
      </c>
      <c r="P199" s="121">
        <v>40033</v>
      </c>
      <c r="Q199" s="148">
        <v>0</v>
      </c>
      <c r="R199" s="114">
        <v>86197</v>
      </c>
      <c r="S199" s="115">
        <v>8781</v>
      </c>
      <c r="T199" s="171">
        <v>78753</v>
      </c>
      <c r="U199" s="159">
        <v>251</v>
      </c>
    </row>
    <row r="200" spans="1:21" x14ac:dyDescent="0.3">
      <c r="A200" s="8">
        <v>51</v>
      </c>
      <c r="B200" s="12"/>
      <c r="C200" s="13"/>
      <c r="D200" s="14" t="s">
        <v>225</v>
      </c>
      <c r="E200" s="23" t="s">
        <v>15</v>
      </c>
      <c r="F200" s="23" t="s">
        <v>15</v>
      </c>
      <c r="G200" s="23" t="s">
        <v>15</v>
      </c>
      <c r="H200" s="23" t="s">
        <v>15</v>
      </c>
      <c r="I200" s="23" t="s">
        <v>15</v>
      </c>
      <c r="J200" s="23" t="s">
        <v>15</v>
      </c>
      <c r="K200" s="23" t="s">
        <v>15</v>
      </c>
      <c r="L200" s="71">
        <v>0</v>
      </c>
      <c r="M200" s="71">
        <v>0</v>
      </c>
      <c r="N200" s="71">
        <v>215</v>
      </c>
      <c r="O200" s="71">
        <v>0</v>
      </c>
      <c r="P200" s="121">
        <v>0</v>
      </c>
      <c r="Q200" s="148">
        <v>0</v>
      </c>
      <c r="R200" s="114">
        <v>0</v>
      </c>
      <c r="S200" s="115">
        <v>0</v>
      </c>
      <c r="T200" s="115">
        <v>0</v>
      </c>
      <c r="U200" s="115">
        <v>0</v>
      </c>
    </row>
    <row r="201" spans="1:21" x14ac:dyDescent="0.3">
      <c r="A201" s="8">
        <v>52</v>
      </c>
      <c r="B201" s="12"/>
      <c r="C201" s="13"/>
      <c r="D201" s="14" t="s">
        <v>226</v>
      </c>
      <c r="E201" s="23" t="s">
        <v>15</v>
      </c>
      <c r="F201" s="23" t="s">
        <v>15</v>
      </c>
      <c r="G201" s="23" t="s">
        <v>15</v>
      </c>
      <c r="H201" s="23" t="s">
        <v>15</v>
      </c>
      <c r="I201" s="23" t="s">
        <v>15</v>
      </c>
      <c r="J201" s="23" t="s">
        <v>15</v>
      </c>
      <c r="K201" s="23" t="s">
        <v>15</v>
      </c>
      <c r="L201" s="71">
        <v>0</v>
      </c>
      <c r="M201" s="71">
        <v>0</v>
      </c>
      <c r="N201" s="71">
        <v>100</v>
      </c>
      <c r="O201" s="71">
        <v>0</v>
      </c>
      <c r="P201" s="121">
        <v>0</v>
      </c>
      <c r="Q201" s="148">
        <v>0</v>
      </c>
      <c r="R201" s="114">
        <v>0</v>
      </c>
      <c r="S201" s="115">
        <v>0</v>
      </c>
      <c r="T201" s="115">
        <v>0</v>
      </c>
      <c r="U201" s="115">
        <v>0</v>
      </c>
    </row>
    <row r="202" spans="1:21" s="157" customFormat="1" x14ac:dyDescent="0.3">
      <c r="A202" s="8">
        <v>53</v>
      </c>
      <c r="B202" s="12"/>
      <c r="C202" s="13"/>
      <c r="D202" s="14" t="s">
        <v>227</v>
      </c>
      <c r="E202" s="23" t="s">
        <v>15</v>
      </c>
      <c r="F202" s="23" t="s">
        <v>15</v>
      </c>
      <c r="G202" s="23" t="s">
        <v>15</v>
      </c>
      <c r="H202" s="23" t="s">
        <v>15</v>
      </c>
      <c r="I202" s="23" t="s">
        <v>15</v>
      </c>
      <c r="J202" s="23" t="s">
        <v>15</v>
      </c>
      <c r="K202" s="23" t="s">
        <v>15</v>
      </c>
      <c r="L202" s="71">
        <v>0</v>
      </c>
      <c r="M202" s="71">
        <v>0</v>
      </c>
      <c r="N202" s="71">
        <v>4725</v>
      </c>
      <c r="O202" s="71">
        <v>0</v>
      </c>
      <c r="P202" s="121">
        <v>1893</v>
      </c>
      <c r="Q202" s="148">
        <v>0</v>
      </c>
      <c r="R202" s="114">
        <v>30358</v>
      </c>
      <c r="S202" s="115">
        <v>0</v>
      </c>
      <c r="T202" s="171">
        <v>65895</v>
      </c>
      <c r="U202" s="174">
        <v>0</v>
      </c>
    </row>
    <row r="203" spans="1:21" s="157" customFormat="1" x14ac:dyDescent="0.3">
      <c r="A203" s="8">
        <v>54</v>
      </c>
      <c r="B203" s="12"/>
      <c r="C203" s="13"/>
      <c r="D203" s="14" t="s">
        <v>228</v>
      </c>
      <c r="E203" s="23" t="s">
        <v>15</v>
      </c>
      <c r="F203" s="23" t="s">
        <v>15</v>
      </c>
      <c r="G203" s="23" t="s">
        <v>15</v>
      </c>
      <c r="H203" s="23" t="s">
        <v>15</v>
      </c>
      <c r="I203" s="23" t="s">
        <v>15</v>
      </c>
      <c r="J203" s="23" t="s">
        <v>15</v>
      </c>
      <c r="K203" s="23" t="s">
        <v>15</v>
      </c>
      <c r="L203" s="71">
        <v>0</v>
      </c>
      <c r="M203" s="71">
        <v>0</v>
      </c>
      <c r="N203" s="71">
        <v>740</v>
      </c>
      <c r="O203" s="71">
        <v>200</v>
      </c>
      <c r="P203" s="121">
        <v>3833</v>
      </c>
      <c r="Q203" s="148">
        <v>17821</v>
      </c>
      <c r="R203" s="114">
        <v>29757</v>
      </c>
      <c r="S203" s="115">
        <v>59971</v>
      </c>
      <c r="T203" s="171">
        <v>5115</v>
      </c>
      <c r="U203" s="172">
        <v>71313</v>
      </c>
    </row>
    <row r="204" spans="1:21" s="157" customFormat="1" x14ac:dyDescent="0.3">
      <c r="A204" s="8">
        <v>55</v>
      </c>
      <c r="B204" s="12"/>
      <c r="C204" s="13"/>
      <c r="D204" s="14" t="s">
        <v>229</v>
      </c>
      <c r="E204" s="23" t="s">
        <v>15</v>
      </c>
      <c r="F204" s="23" t="s">
        <v>15</v>
      </c>
      <c r="G204" s="23" t="s">
        <v>15</v>
      </c>
      <c r="H204" s="23" t="s">
        <v>15</v>
      </c>
      <c r="I204" s="23" t="s">
        <v>15</v>
      </c>
      <c r="J204" s="23" t="s">
        <v>15</v>
      </c>
      <c r="K204" s="23" t="s">
        <v>15</v>
      </c>
      <c r="L204" s="71">
        <v>0</v>
      </c>
      <c r="M204" s="71">
        <v>0</v>
      </c>
      <c r="N204" s="71">
        <v>2452</v>
      </c>
      <c r="O204" s="71">
        <v>53</v>
      </c>
      <c r="P204" s="121">
        <v>0</v>
      </c>
      <c r="Q204" s="148">
        <v>0</v>
      </c>
      <c r="R204" s="114">
        <v>770</v>
      </c>
      <c r="S204" s="115">
        <v>1606</v>
      </c>
      <c r="T204" s="158">
        <v>651</v>
      </c>
      <c r="U204" s="172">
        <v>1511</v>
      </c>
    </row>
    <row r="205" spans="1:21" s="157" customFormat="1" x14ac:dyDescent="0.3">
      <c r="A205" s="41">
        <v>56</v>
      </c>
      <c r="B205" s="13"/>
      <c r="C205" s="13"/>
      <c r="D205" s="14" t="s">
        <v>254</v>
      </c>
      <c r="E205" s="89" t="s">
        <v>15</v>
      </c>
      <c r="F205" s="23" t="s">
        <v>15</v>
      </c>
      <c r="G205" s="23" t="s">
        <v>15</v>
      </c>
      <c r="H205" s="23" t="s">
        <v>15</v>
      </c>
      <c r="I205" s="23" t="s">
        <v>15</v>
      </c>
      <c r="J205" s="23" t="s">
        <v>15</v>
      </c>
      <c r="K205" s="23" t="s">
        <v>15</v>
      </c>
      <c r="L205" s="71">
        <v>0</v>
      </c>
      <c r="M205" s="71">
        <v>0</v>
      </c>
      <c r="N205" s="102">
        <v>0</v>
      </c>
      <c r="O205" s="71">
        <v>0</v>
      </c>
      <c r="P205" s="121">
        <v>871</v>
      </c>
      <c r="Q205" s="148">
        <v>3838</v>
      </c>
      <c r="R205" s="114">
        <v>11945</v>
      </c>
      <c r="S205" s="115">
        <v>32088</v>
      </c>
      <c r="T205" s="171">
        <v>6654</v>
      </c>
      <c r="U205" s="172">
        <v>55664</v>
      </c>
    </row>
    <row r="206" spans="1:21" x14ac:dyDescent="0.3">
      <c r="A206" s="41">
        <v>57</v>
      </c>
      <c r="B206" s="13"/>
      <c r="C206" s="13"/>
      <c r="D206" s="14" t="s">
        <v>255</v>
      </c>
      <c r="E206" s="89" t="s">
        <v>15</v>
      </c>
      <c r="F206" s="23" t="s">
        <v>15</v>
      </c>
      <c r="G206" s="23" t="s">
        <v>15</v>
      </c>
      <c r="H206" s="23" t="s">
        <v>15</v>
      </c>
      <c r="I206" s="23" t="s">
        <v>15</v>
      </c>
      <c r="J206" s="23" t="s">
        <v>15</v>
      </c>
      <c r="K206" s="23" t="s">
        <v>15</v>
      </c>
      <c r="L206" s="71">
        <v>0</v>
      </c>
      <c r="M206" s="71">
        <v>0</v>
      </c>
      <c r="N206" s="102">
        <v>0</v>
      </c>
      <c r="O206" s="71">
        <v>0</v>
      </c>
      <c r="P206" s="121">
        <v>0</v>
      </c>
      <c r="Q206" s="148">
        <v>342</v>
      </c>
      <c r="R206" s="114">
        <v>0</v>
      </c>
      <c r="S206" s="115">
        <v>0</v>
      </c>
      <c r="T206" s="115">
        <v>0</v>
      </c>
      <c r="U206" s="115">
        <v>0</v>
      </c>
    </row>
    <row r="207" spans="1:21" s="157" customFormat="1" x14ac:dyDescent="0.3">
      <c r="A207" s="41">
        <v>58</v>
      </c>
      <c r="B207" s="13"/>
      <c r="C207" s="13"/>
      <c r="D207" s="14" t="s">
        <v>256</v>
      </c>
      <c r="E207" s="89" t="s">
        <v>15</v>
      </c>
      <c r="F207" s="23" t="s">
        <v>15</v>
      </c>
      <c r="G207" s="23" t="s">
        <v>15</v>
      </c>
      <c r="H207" s="23" t="s">
        <v>15</v>
      </c>
      <c r="I207" s="23" t="s">
        <v>15</v>
      </c>
      <c r="J207" s="23" t="s">
        <v>15</v>
      </c>
      <c r="K207" s="23" t="s">
        <v>15</v>
      </c>
      <c r="L207" s="71">
        <v>0</v>
      </c>
      <c r="M207" s="71">
        <v>0</v>
      </c>
      <c r="N207" s="102">
        <v>0</v>
      </c>
      <c r="O207" s="71">
        <v>0</v>
      </c>
      <c r="P207" s="121">
        <v>1375</v>
      </c>
      <c r="Q207" s="148">
        <v>60</v>
      </c>
      <c r="R207" s="114">
        <v>7910</v>
      </c>
      <c r="S207" s="115">
        <v>1726</v>
      </c>
      <c r="T207" s="171">
        <v>4474</v>
      </c>
      <c r="U207" s="159">
        <v>811</v>
      </c>
    </row>
    <row r="208" spans="1:21" s="157" customFormat="1" x14ac:dyDescent="0.3">
      <c r="A208" s="41">
        <v>59</v>
      </c>
      <c r="B208" s="13"/>
      <c r="C208" s="13"/>
      <c r="D208" s="14" t="s">
        <v>285</v>
      </c>
      <c r="E208" s="89" t="s">
        <v>15</v>
      </c>
      <c r="F208" s="23" t="s">
        <v>15</v>
      </c>
      <c r="G208" s="23" t="s">
        <v>15</v>
      </c>
      <c r="H208" s="23" t="s">
        <v>15</v>
      </c>
      <c r="I208" s="23" t="s">
        <v>15</v>
      </c>
      <c r="J208" s="23" t="s">
        <v>15</v>
      </c>
      <c r="K208" s="23" t="s">
        <v>15</v>
      </c>
      <c r="L208" s="71">
        <v>0</v>
      </c>
      <c r="M208" s="71">
        <v>0</v>
      </c>
      <c r="N208" s="102">
        <v>0</v>
      </c>
      <c r="O208" s="71">
        <v>0</v>
      </c>
      <c r="P208" s="121">
        <v>0</v>
      </c>
      <c r="Q208" s="148">
        <v>105717</v>
      </c>
      <c r="R208" s="114">
        <v>1652</v>
      </c>
      <c r="S208" s="115">
        <v>7099</v>
      </c>
      <c r="T208" s="171">
        <v>3146</v>
      </c>
      <c r="U208" s="172">
        <v>8652</v>
      </c>
    </row>
    <row r="209" spans="1:21" x14ac:dyDescent="0.3">
      <c r="A209" s="41">
        <v>60</v>
      </c>
      <c r="B209" s="13"/>
      <c r="C209" s="13"/>
      <c r="D209" s="14" t="s">
        <v>257</v>
      </c>
      <c r="E209" s="89" t="s">
        <v>15</v>
      </c>
      <c r="F209" s="23" t="s">
        <v>15</v>
      </c>
      <c r="G209" s="23" t="s">
        <v>15</v>
      </c>
      <c r="H209" s="23" t="s">
        <v>15</v>
      </c>
      <c r="I209" s="23" t="s">
        <v>15</v>
      </c>
      <c r="J209" s="23" t="s">
        <v>15</v>
      </c>
      <c r="K209" s="23" t="s">
        <v>15</v>
      </c>
      <c r="L209" s="71">
        <v>0</v>
      </c>
      <c r="M209" s="71">
        <v>0</v>
      </c>
      <c r="N209" s="102">
        <v>0</v>
      </c>
      <c r="O209" s="71">
        <v>0</v>
      </c>
      <c r="P209" s="121">
        <v>6</v>
      </c>
      <c r="Q209" s="148">
        <v>88</v>
      </c>
      <c r="R209" s="114">
        <v>0</v>
      </c>
      <c r="S209" s="115">
        <v>0</v>
      </c>
      <c r="T209" s="158">
        <v>103</v>
      </c>
      <c r="U209" s="159">
        <v>579</v>
      </c>
    </row>
    <row r="210" spans="1:21" s="157" customFormat="1" x14ac:dyDescent="0.3">
      <c r="A210" s="41">
        <v>61</v>
      </c>
      <c r="B210" s="13"/>
      <c r="C210" s="13"/>
      <c r="D210" s="14" t="s">
        <v>258</v>
      </c>
      <c r="E210" s="89" t="s">
        <v>15</v>
      </c>
      <c r="F210" s="23" t="s">
        <v>15</v>
      </c>
      <c r="G210" s="23" t="s">
        <v>15</v>
      </c>
      <c r="H210" s="23" t="s">
        <v>15</v>
      </c>
      <c r="I210" s="23" t="s">
        <v>15</v>
      </c>
      <c r="J210" s="23" t="s">
        <v>15</v>
      </c>
      <c r="K210" s="23" t="s">
        <v>15</v>
      </c>
      <c r="L210" s="71">
        <v>0</v>
      </c>
      <c r="M210" s="71">
        <v>0</v>
      </c>
      <c r="N210" s="102">
        <v>0</v>
      </c>
      <c r="O210" s="71">
        <v>0</v>
      </c>
      <c r="P210" s="121">
        <v>24785</v>
      </c>
      <c r="Q210" s="148">
        <v>356</v>
      </c>
      <c r="R210" s="114">
        <v>114920</v>
      </c>
      <c r="S210" s="115">
        <v>1139</v>
      </c>
      <c r="T210" s="171">
        <v>95315</v>
      </c>
      <c r="U210" s="159">
        <v>798</v>
      </c>
    </row>
    <row r="211" spans="1:21" s="157" customFormat="1" x14ac:dyDescent="0.3">
      <c r="A211" s="41">
        <v>62</v>
      </c>
      <c r="B211" s="13"/>
      <c r="C211" s="13"/>
      <c r="D211" s="14" t="s">
        <v>259</v>
      </c>
      <c r="E211" s="89" t="s">
        <v>15</v>
      </c>
      <c r="F211" s="23" t="s">
        <v>15</v>
      </c>
      <c r="G211" s="23" t="s">
        <v>15</v>
      </c>
      <c r="H211" s="23" t="s">
        <v>15</v>
      </c>
      <c r="I211" s="23" t="s">
        <v>15</v>
      </c>
      <c r="J211" s="23" t="s">
        <v>15</v>
      </c>
      <c r="K211" s="23" t="s">
        <v>15</v>
      </c>
      <c r="L211" s="71">
        <v>0</v>
      </c>
      <c r="M211" s="71">
        <v>0</v>
      </c>
      <c r="N211" s="102">
        <v>0</v>
      </c>
      <c r="O211" s="71">
        <v>0</v>
      </c>
      <c r="P211" s="121">
        <v>6598</v>
      </c>
      <c r="Q211" s="148">
        <v>205</v>
      </c>
      <c r="R211" s="114">
        <v>18765</v>
      </c>
      <c r="S211" s="115">
        <v>501</v>
      </c>
      <c r="T211" s="171">
        <v>12582</v>
      </c>
      <c r="U211" s="172">
        <v>1735</v>
      </c>
    </row>
    <row r="212" spans="1:21" s="157" customFormat="1" x14ac:dyDescent="0.3">
      <c r="A212" s="41">
        <v>63</v>
      </c>
      <c r="B212" s="13"/>
      <c r="C212" s="13"/>
      <c r="D212" s="14" t="s">
        <v>260</v>
      </c>
      <c r="E212" s="89" t="s">
        <v>15</v>
      </c>
      <c r="F212" s="23" t="s">
        <v>15</v>
      </c>
      <c r="G212" s="23" t="s">
        <v>15</v>
      </c>
      <c r="H212" s="23" t="s">
        <v>15</v>
      </c>
      <c r="I212" s="23" t="s">
        <v>15</v>
      </c>
      <c r="J212" s="23" t="s">
        <v>15</v>
      </c>
      <c r="K212" s="23" t="s">
        <v>15</v>
      </c>
      <c r="L212" s="71">
        <v>0</v>
      </c>
      <c r="M212" s="71">
        <v>0</v>
      </c>
      <c r="N212" s="102">
        <v>0</v>
      </c>
      <c r="O212" s="71">
        <v>0</v>
      </c>
      <c r="P212" s="121">
        <v>30570</v>
      </c>
      <c r="Q212" s="148">
        <v>0</v>
      </c>
      <c r="R212" s="114">
        <v>53366</v>
      </c>
      <c r="S212" s="115">
        <v>0</v>
      </c>
      <c r="T212" s="171">
        <v>87983</v>
      </c>
      <c r="U212" s="174">
        <v>0</v>
      </c>
    </row>
    <row r="213" spans="1:21" s="157" customFormat="1" x14ac:dyDescent="0.3">
      <c r="A213" s="41">
        <v>64</v>
      </c>
      <c r="B213" s="13"/>
      <c r="C213" s="13"/>
      <c r="D213" s="14" t="s">
        <v>263</v>
      </c>
      <c r="E213" s="89" t="s">
        <v>15</v>
      </c>
      <c r="F213" s="23" t="s">
        <v>15</v>
      </c>
      <c r="G213" s="23" t="s">
        <v>15</v>
      </c>
      <c r="H213" s="23" t="s">
        <v>15</v>
      </c>
      <c r="I213" s="23" t="s">
        <v>15</v>
      </c>
      <c r="J213" s="23" t="s">
        <v>15</v>
      </c>
      <c r="K213" s="23" t="s">
        <v>15</v>
      </c>
      <c r="L213" s="71">
        <v>0</v>
      </c>
      <c r="M213" s="71">
        <v>0</v>
      </c>
      <c r="N213" s="102">
        <v>0</v>
      </c>
      <c r="O213" s="71">
        <v>0</v>
      </c>
      <c r="P213" s="71">
        <v>0</v>
      </c>
      <c r="Q213" s="71">
        <v>0</v>
      </c>
      <c r="R213" s="71">
        <v>0</v>
      </c>
      <c r="S213" s="115">
        <v>14</v>
      </c>
      <c r="T213" s="173">
        <v>0</v>
      </c>
      <c r="U213" s="174">
        <v>0</v>
      </c>
    </row>
    <row r="214" spans="1:21" s="157" customFormat="1" x14ac:dyDescent="0.3">
      <c r="A214" s="41">
        <v>65</v>
      </c>
      <c r="B214" s="13"/>
      <c r="C214" s="13"/>
      <c r="D214" s="14" t="s">
        <v>264</v>
      </c>
      <c r="E214" s="89" t="s">
        <v>15</v>
      </c>
      <c r="F214" s="23" t="s">
        <v>15</v>
      </c>
      <c r="G214" s="23" t="s">
        <v>15</v>
      </c>
      <c r="H214" s="23" t="s">
        <v>15</v>
      </c>
      <c r="I214" s="23" t="s">
        <v>15</v>
      </c>
      <c r="J214" s="23" t="s">
        <v>15</v>
      </c>
      <c r="K214" s="23" t="s">
        <v>15</v>
      </c>
      <c r="L214" s="71">
        <v>0</v>
      </c>
      <c r="M214" s="71">
        <v>0</v>
      </c>
      <c r="N214" s="102">
        <v>0</v>
      </c>
      <c r="O214" s="71">
        <v>0</v>
      </c>
      <c r="P214" s="71">
        <v>0</v>
      </c>
      <c r="Q214" s="71">
        <v>0</v>
      </c>
      <c r="R214" s="114">
        <v>54</v>
      </c>
      <c r="S214" s="115">
        <v>110</v>
      </c>
      <c r="T214" s="173">
        <v>0</v>
      </c>
      <c r="U214" s="174">
        <v>0</v>
      </c>
    </row>
    <row r="215" spans="1:21" s="157" customFormat="1" x14ac:dyDescent="0.3">
      <c r="A215" s="41">
        <v>66</v>
      </c>
      <c r="B215" s="13"/>
      <c r="C215" s="13"/>
      <c r="D215" s="14" t="s">
        <v>265</v>
      </c>
      <c r="E215" s="89" t="s">
        <v>15</v>
      </c>
      <c r="F215" s="23" t="s">
        <v>15</v>
      </c>
      <c r="G215" s="23" t="s">
        <v>15</v>
      </c>
      <c r="H215" s="23" t="s">
        <v>15</v>
      </c>
      <c r="I215" s="23" t="s">
        <v>15</v>
      </c>
      <c r="J215" s="23" t="s">
        <v>15</v>
      </c>
      <c r="K215" s="23" t="s">
        <v>15</v>
      </c>
      <c r="L215" s="71">
        <v>0</v>
      </c>
      <c r="M215" s="71">
        <v>0</v>
      </c>
      <c r="N215" s="102">
        <v>0</v>
      </c>
      <c r="O215" s="71">
        <v>0</v>
      </c>
      <c r="P215" s="71">
        <v>0</v>
      </c>
      <c r="Q215" s="71">
        <v>0</v>
      </c>
      <c r="R215" s="114">
        <v>4697</v>
      </c>
      <c r="S215" s="115">
        <v>1406</v>
      </c>
      <c r="T215" s="171">
        <v>6096</v>
      </c>
      <c r="U215" s="172">
        <v>3547</v>
      </c>
    </row>
    <row r="216" spans="1:21" s="157" customFormat="1" x14ac:dyDescent="0.3">
      <c r="A216" s="41">
        <v>67</v>
      </c>
      <c r="B216" s="13"/>
      <c r="C216" s="13"/>
      <c r="D216" s="14" t="s">
        <v>266</v>
      </c>
      <c r="E216" s="89" t="s">
        <v>15</v>
      </c>
      <c r="F216" s="23" t="s">
        <v>15</v>
      </c>
      <c r="G216" s="23" t="s">
        <v>15</v>
      </c>
      <c r="H216" s="23" t="s">
        <v>15</v>
      </c>
      <c r="I216" s="23" t="s">
        <v>15</v>
      </c>
      <c r="J216" s="23" t="s">
        <v>15</v>
      </c>
      <c r="K216" s="23" t="s">
        <v>15</v>
      </c>
      <c r="L216" s="71">
        <v>0</v>
      </c>
      <c r="M216" s="71">
        <v>0</v>
      </c>
      <c r="N216" s="102">
        <v>0</v>
      </c>
      <c r="O216" s="71">
        <v>0</v>
      </c>
      <c r="P216" s="71">
        <v>0</v>
      </c>
      <c r="Q216" s="71">
        <v>0</v>
      </c>
      <c r="R216" s="114">
        <v>121</v>
      </c>
      <c r="S216" s="115">
        <v>1647</v>
      </c>
      <c r="T216" s="173">
        <v>0</v>
      </c>
      <c r="U216" s="173">
        <v>0</v>
      </c>
    </row>
    <row r="217" spans="1:21" s="157" customFormat="1" x14ac:dyDescent="0.3">
      <c r="A217" s="41">
        <v>68</v>
      </c>
      <c r="B217" s="13"/>
      <c r="C217" s="13"/>
      <c r="D217" s="14" t="s">
        <v>267</v>
      </c>
      <c r="E217" s="89" t="s">
        <v>15</v>
      </c>
      <c r="F217" s="23" t="s">
        <v>15</v>
      </c>
      <c r="G217" s="23" t="s">
        <v>15</v>
      </c>
      <c r="H217" s="23" t="s">
        <v>15</v>
      </c>
      <c r="I217" s="23" t="s">
        <v>15</v>
      </c>
      <c r="J217" s="23" t="s">
        <v>15</v>
      </c>
      <c r="K217" s="23" t="s">
        <v>15</v>
      </c>
      <c r="L217" s="71">
        <v>0</v>
      </c>
      <c r="M217" s="71">
        <v>0</v>
      </c>
      <c r="N217" s="102">
        <v>0</v>
      </c>
      <c r="O217" s="71">
        <v>0</v>
      </c>
      <c r="P217" s="71">
        <v>0</v>
      </c>
      <c r="Q217" s="71">
        <v>0</v>
      </c>
      <c r="R217" s="114">
        <v>0</v>
      </c>
      <c r="S217" s="115">
        <v>121</v>
      </c>
      <c r="T217" s="173">
        <v>0</v>
      </c>
      <c r="U217" s="173">
        <v>0</v>
      </c>
    </row>
    <row r="218" spans="1:21" s="157" customFormat="1" x14ac:dyDescent="0.3">
      <c r="A218" s="41">
        <v>69</v>
      </c>
      <c r="B218" s="13"/>
      <c r="C218" s="13"/>
      <c r="D218" s="14" t="s">
        <v>268</v>
      </c>
      <c r="E218" s="89" t="s">
        <v>15</v>
      </c>
      <c r="F218" s="23" t="s">
        <v>15</v>
      </c>
      <c r="G218" s="23" t="s">
        <v>15</v>
      </c>
      <c r="H218" s="23" t="s">
        <v>15</v>
      </c>
      <c r="I218" s="23" t="s">
        <v>15</v>
      </c>
      <c r="J218" s="23" t="s">
        <v>15</v>
      </c>
      <c r="K218" s="23" t="s">
        <v>15</v>
      </c>
      <c r="L218" s="71">
        <v>0</v>
      </c>
      <c r="M218" s="71">
        <v>0</v>
      </c>
      <c r="N218" s="102">
        <v>0</v>
      </c>
      <c r="O218" s="71">
        <v>0</v>
      </c>
      <c r="P218" s="71">
        <v>0</v>
      </c>
      <c r="Q218" s="71">
        <v>0</v>
      </c>
      <c r="R218" s="114">
        <v>0</v>
      </c>
      <c r="S218" s="115">
        <v>500</v>
      </c>
      <c r="T218" s="173">
        <v>0</v>
      </c>
      <c r="U218" s="173">
        <v>0</v>
      </c>
    </row>
    <row r="219" spans="1:21" s="157" customFormat="1" x14ac:dyDescent="0.3">
      <c r="A219" s="41">
        <v>70</v>
      </c>
      <c r="B219" s="13"/>
      <c r="C219" s="13"/>
      <c r="D219" s="14" t="s">
        <v>269</v>
      </c>
      <c r="E219" s="89" t="s">
        <v>15</v>
      </c>
      <c r="F219" s="23" t="s">
        <v>15</v>
      </c>
      <c r="G219" s="23" t="s">
        <v>15</v>
      </c>
      <c r="H219" s="23" t="s">
        <v>15</v>
      </c>
      <c r="I219" s="23" t="s">
        <v>15</v>
      </c>
      <c r="J219" s="23" t="s">
        <v>15</v>
      </c>
      <c r="K219" s="23" t="s">
        <v>15</v>
      </c>
      <c r="L219" s="71">
        <v>0</v>
      </c>
      <c r="M219" s="71">
        <v>0</v>
      </c>
      <c r="N219" s="102">
        <v>0</v>
      </c>
      <c r="O219" s="71">
        <v>0</v>
      </c>
      <c r="P219" s="71">
        <v>0</v>
      </c>
      <c r="Q219" s="71">
        <v>0</v>
      </c>
      <c r="R219" s="114">
        <v>0</v>
      </c>
      <c r="S219" s="115">
        <v>1881</v>
      </c>
      <c r="T219" s="173">
        <v>0</v>
      </c>
      <c r="U219" s="174">
        <v>0</v>
      </c>
    </row>
    <row r="220" spans="1:21" s="120" customFormat="1" x14ac:dyDescent="0.3">
      <c r="A220" s="41">
        <v>71</v>
      </c>
      <c r="B220" s="13"/>
      <c r="C220" s="13"/>
      <c r="D220" s="14" t="s">
        <v>288</v>
      </c>
      <c r="E220" s="89" t="s">
        <v>15</v>
      </c>
      <c r="F220" s="23" t="s">
        <v>15</v>
      </c>
      <c r="G220" s="23" t="s">
        <v>15</v>
      </c>
      <c r="H220" s="23" t="s">
        <v>15</v>
      </c>
      <c r="I220" s="23" t="s">
        <v>15</v>
      </c>
      <c r="J220" s="23" t="s">
        <v>15</v>
      </c>
      <c r="K220" s="23" t="s">
        <v>15</v>
      </c>
      <c r="L220" s="71">
        <v>0</v>
      </c>
      <c r="M220" s="71">
        <v>0</v>
      </c>
      <c r="N220" s="102">
        <v>0</v>
      </c>
      <c r="O220" s="71">
        <v>0</v>
      </c>
      <c r="P220" s="71">
        <v>0</v>
      </c>
      <c r="Q220" s="71">
        <v>0</v>
      </c>
      <c r="R220" s="114">
        <v>0</v>
      </c>
      <c r="S220" s="114">
        <v>0</v>
      </c>
      <c r="T220" s="158">
        <v>234</v>
      </c>
      <c r="U220" s="172">
        <v>3623</v>
      </c>
    </row>
    <row r="221" spans="1:21" s="179" customFormat="1" x14ac:dyDescent="0.3">
      <c r="A221" s="41">
        <v>73</v>
      </c>
      <c r="B221" s="13"/>
      <c r="C221" s="13"/>
      <c r="D221" s="14" t="s">
        <v>287</v>
      </c>
      <c r="E221" s="89" t="s">
        <v>15</v>
      </c>
      <c r="F221" s="23" t="s">
        <v>15</v>
      </c>
      <c r="G221" s="23" t="s">
        <v>15</v>
      </c>
      <c r="H221" s="23" t="s">
        <v>15</v>
      </c>
      <c r="I221" s="23" t="s">
        <v>15</v>
      </c>
      <c r="J221" s="23" t="s">
        <v>15</v>
      </c>
      <c r="K221" s="23" t="s">
        <v>15</v>
      </c>
      <c r="L221" s="23" t="s">
        <v>15</v>
      </c>
      <c r="M221" s="23" t="s">
        <v>15</v>
      </c>
      <c r="N221" s="23" t="s">
        <v>15</v>
      </c>
      <c r="O221" s="23" t="s">
        <v>15</v>
      </c>
      <c r="P221" s="23" t="s">
        <v>15</v>
      </c>
      <c r="Q221" s="23" t="s">
        <v>15</v>
      </c>
      <c r="R221" s="23" t="s">
        <v>15</v>
      </c>
      <c r="S221" s="114">
        <v>0</v>
      </c>
      <c r="T221" s="171">
        <v>1127</v>
      </c>
      <c r="U221" s="172">
        <v>4434</v>
      </c>
    </row>
    <row r="222" spans="1:21" s="120" customFormat="1" x14ac:dyDescent="0.3">
      <c r="A222" s="41">
        <v>74</v>
      </c>
      <c r="B222" s="13"/>
      <c r="C222" s="13"/>
      <c r="D222" s="14" t="s">
        <v>289</v>
      </c>
      <c r="E222" s="89" t="s">
        <v>15</v>
      </c>
      <c r="F222" s="23" t="s">
        <v>15</v>
      </c>
      <c r="G222" s="23" t="s">
        <v>15</v>
      </c>
      <c r="H222" s="23" t="s">
        <v>15</v>
      </c>
      <c r="I222" s="23" t="s">
        <v>15</v>
      </c>
      <c r="J222" s="23" t="s">
        <v>15</v>
      </c>
      <c r="K222" s="23" t="s">
        <v>15</v>
      </c>
      <c r="L222" s="23" t="s">
        <v>15</v>
      </c>
      <c r="M222" s="23" t="s">
        <v>15</v>
      </c>
      <c r="N222" s="23" t="s">
        <v>15</v>
      </c>
      <c r="O222" s="23" t="s">
        <v>15</v>
      </c>
      <c r="P222" s="23" t="s">
        <v>15</v>
      </c>
      <c r="Q222" s="23" t="s">
        <v>15</v>
      </c>
      <c r="R222" s="23" t="s">
        <v>15</v>
      </c>
      <c r="S222" s="114">
        <v>0</v>
      </c>
      <c r="T222" s="171">
        <v>12</v>
      </c>
      <c r="U222" s="172">
        <v>2</v>
      </c>
    </row>
    <row r="223" spans="1:21" s="120" customFormat="1" x14ac:dyDescent="0.3">
      <c r="A223" s="41">
        <v>75</v>
      </c>
      <c r="B223" s="13"/>
      <c r="C223" s="13"/>
      <c r="D223" s="14" t="s">
        <v>290</v>
      </c>
      <c r="E223" s="89" t="s">
        <v>15</v>
      </c>
      <c r="F223" s="23" t="s">
        <v>15</v>
      </c>
      <c r="G223" s="23" t="s">
        <v>15</v>
      </c>
      <c r="H223" s="23" t="s">
        <v>15</v>
      </c>
      <c r="I223" s="23" t="s">
        <v>15</v>
      </c>
      <c r="J223" s="23" t="s">
        <v>15</v>
      </c>
      <c r="K223" s="23" t="s">
        <v>15</v>
      </c>
      <c r="L223" s="23" t="s">
        <v>15</v>
      </c>
      <c r="M223" s="23" t="s">
        <v>15</v>
      </c>
      <c r="N223" s="23" t="s">
        <v>15</v>
      </c>
      <c r="O223" s="23" t="s">
        <v>15</v>
      </c>
      <c r="P223" s="23" t="s">
        <v>15</v>
      </c>
      <c r="Q223" s="23" t="s">
        <v>15</v>
      </c>
      <c r="R223" s="23" t="s">
        <v>15</v>
      </c>
      <c r="S223" s="114">
        <v>0</v>
      </c>
      <c r="T223" s="171">
        <v>8</v>
      </c>
      <c r="U223" s="172">
        <v>106</v>
      </c>
    </row>
    <row r="224" spans="1:21" s="120" customFormat="1" x14ac:dyDescent="0.3">
      <c r="A224" s="41">
        <v>76</v>
      </c>
      <c r="B224" s="13"/>
      <c r="C224" s="13"/>
      <c r="D224" s="14" t="s">
        <v>291</v>
      </c>
      <c r="E224" s="89" t="s">
        <v>15</v>
      </c>
      <c r="F224" s="23" t="s">
        <v>15</v>
      </c>
      <c r="G224" s="23" t="s">
        <v>15</v>
      </c>
      <c r="H224" s="23" t="s">
        <v>15</v>
      </c>
      <c r="I224" s="23" t="s">
        <v>15</v>
      </c>
      <c r="J224" s="23" t="s">
        <v>15</v>
      </c>
      <c r="K224" s="23" t="s">
        <v>15</v>
      </c>
      <c r="L224" s="23" t="s">
        <v>15</v>
      </c>
      <c r="M224" s="23" t="s">
        <v>15</v>
      </c>
      <c r="N224" s="23" t="s">
        <v>15</v>
      </c>
      <c r="O224" s="23" t="s">
        <v>15</v>
      </c>
      <c r="P224" s="23" t="s">
        <v>15</v>
      </c>
      <c r="Q224" s="23" t="s">
        <v>15</v>
      </c>
      <c r="R224" s="23" t="s">
        <v>15</v>
      </c>
      <c r="S224" s="114">
        <v>0</v>
      </c>
      <c r="T224" s="171">
        <v>2987</v>
      </c>
      <c r="U224" s="172">
        <v>132</v>
      </c>
    </row>
    <row r="225" spans="1:21" s="120" customFormat="1" x14ac:dyDescent="0.3">
      <c r="A225" s="41">
        <v>77</v>
      </c>
      <c r="B225" s="13"/>
      <c r="C225" s="13"/>
      <c r="D225" s="14" t="s">
        <v>292</v>
      </c>
      <c r="E225" s="89" t="s">
        <v>15</v>
      </c>
      <c r="F225" s="23" t="s">
        <v>15</v>
      </c>
      <c r="G225" s="23" t="s">
        <v>15</v>
      </c>
      <c r="H225" s="23" t="s">
        <v>15</v>
      </c>
      <c r="I225" s="23" t="s">
        <v>15</v>
      </c>
      <c r="J225" s="23" t="s">
        <v>15</v>
      </c>
      <c r="K225" s="23" t="s">
        <v>15</v>
      </c>
      <c r="L225" s="23" t="s">
        <v>15</v>
      </c>
      <c r="M225" s="23" t="s">
        <v>15</v>
      </c>
      <c r="N225" s="23" t="s">
        <v>15</v>
      </c>
      <c r="O225" s="23" t="s">
        <v>15</v>
      </c>
      <c r="P225" s="23" t="s">
        <v>15</v>
      </c>
      <c r="Q225" s="23" t="s">
        <v>15</v>
      </c>
      <c r="R225" s="23" t="s">
        <v>15</v>
      </c>
      <c r="S225" s="114">
        <v>0</v>
      </c>
      <c r="T225" s="173">
        <v>0</v>
      </c>
      <c r="U225" s="172">
        <v>29</v>
      </c>
    </row>
    <row r="226" spans="1:21" s="120" customFormat="1" x14ac:dyDescent="0.3">
      <c r="A226" s="41">
        <v>78</v>
      </c>
      <c r="B226" s="13"/>
      <c r="C226" s="13"/>
      <c r="D226" s="14" t="s">
        <v>293</v>
      </c>
      <c r="E226" s="89" t="s">
        <v>15</v>
      </c>
      <c r="F226" s="23" t="s">
        <v>15</v>
      </c>
      <c r="G226" s="23" t="s">
        <v>15</v>
      </c>
      <c r="H226" s="23" t="s">
        <v>15</v>
      </c>
      <c r="I226" s="23" t="s">
        <v>15</v>
      </c>
      <c r="J226" s="23" t="s">
        <v>15</v>
      </c>
      <c r="K226" s="23" t="s">
        <v>15</v>
      </c>
      <c r="L226" s="23" t="s">
        <v>15</v>
      </c>
      <c r="M226" s="23" t="s">
        <v>15</v>
      </c>
      <c r="N226" s="23" t="s">
        <v>15</v>
      </c>
      <c r="O226" s="23" t="s">
        <v>15</v>
      </c>
      <c r="P226" s="23" t="s">
        <v>15</v>
      </c>
      <c r="Q226" s="23" t="s">
        <v>15</v>
      </c>
      <c r="R226" s="23" t="s">
        <v>15</v>
      </c>
      <c r="S226" s="114">
        <v>0</v>
      </c>
      <c r="T226" s="171">
        <v>400</v>
      </c>
      <c r="U226" s="172">
        <v>9397</v>
      </c>
    </row>
    <row r="227" spans="1:21" s="120" customFormat="1" x14ac:dyDescent="0.3">
      <c r="A227" s="41">
        <v>79</v>
      </c>
      <c r="B227" s="13"/>
      <c r="C227" s="13"/>
      <c r="D227" s="14" t="s">
        <v>294</v>
      </c>
      <c r="E227" s="89" t="s">
        <v>15</v>
      </c>
      <c r="F227" s="23" t="s">
        <v>15</v>
      </c>
      <c r="G227" s="23" t="s">
        <v>15</v>
      </c>
      <c r="H227" s="23" t="s">
        <v>15</v>
      </c>
      <c r="I227" s="23" t="s">
        <v>15</v>
      </c>
      <c r="J227" s="23" t="s">
        <v>15</v>
      </c>
      <c r="K227" s="23" t="s">
        <v>15</v>
      </c>
      <c r="L227" s="23" t="s">
        <v>15</v>
      </c>
      <c r="M227" s="23" t="s">
        <v>15</v>
      </c>
      <c r="N227" s="23" t="s">
        <v>15</v>
      </c>
      <c r="O227" s="23" t="s">
        <v>15</v>
      </c>
      <c r="P227" s="23" t="s">
        <v>15</v>
      </c>
      <c r="Q227" s="23" t="s">
        <v>15</v>
      </c>
      <c r="R227" s="23" t="s">
        <v>15</v>
      </c>
      <c r="S227" s="114">
        <v>0</v>
      </c>
      <c r="T227" s="171">
        <v>91</v>
      </c>
      <c r="U227" s="172">
        <v>308</v>
      </c>
    </row>
    <row r="228" spans="1:21" x14ac:dyDescent="0.3">
      <c r="A228" s="41"/>
      <c r="B228" s="13"/>
      <c r="C228" s="13"/>
      <c r="D228" s="14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58"/>
      <c r="S228" s="159"/>
      <c r="T228" s="158"/>
      <c r="U228" s="159"/>
    </row>
    <row r="229" spans="1:21" x14ac:dyDescent="0.3">
      <c r="B229" s="27"/>
      <c r="C229" s="28" t="s">
        <v>25</v>
      </c>
      <c r="D229" s="45"/>
      <c r="E229" s="87">
        <f>SUM(E150:E193)</f>
        <v>694704</v>
      </c>
      <c r="F229" s="60">
        <f>SUM(F150:F193)</f>
        <v>698494</v>
      </c>
      <c r="G229" s="29">
        <f>SUM(G150:G193)</f>
        <v>954730</v>
      </c>
      <c r="H229" s="29">
        <f t="shared" ref="H229:M229" si="21">SUM(H150:H204)</f>
        <v>610703</v>
      </c>
      <c r="I229" s="29">
        <f t="shared" si="21"/>
        <v>393107</v>
      </c>
      <c r="J229" s="87">
        <f t="shared" si="21"/>
        <v>429040</v>
      </c>
      <c r="K229" s="60">
        <f t="shared" si="21"/>
        <v>212202</v>
      </c>
      <c r="L229" s="29">
        <f t="shared" si="21"/>
        <v>73462</v>
      </c>
      <c r="M229" s="87">
        <f t="shared" si="21"/>
        <v>48030</v>
      </c>
      <c r="N229" s="60">
        <f>SUM(N150:N205)</f>
        <v>62474</v>
      </c>
      <c r="O229" s="29">
        <f>SUM(O150:O205)</f>
        <v>1203</v>
      </c>
      <c r="P229" s="101">
        <f>SUM(P150:P212)</f>
        <v>330746</v>
      </c>
      <c r="Q229" s="106">
        <f>SUM(Q150:Q212)</f>
        <v>202814</v>
      </c>
      <c r="R229" s="117">
        <f>SUM(R150:R228)</f>
        <v>804680</v>
      </c>
      <c r="S229" s="116">
        <f>SUM(S150:S228)</f>
        <v>433836</v>
      </c>
      <c r="T229" s="182">
        <f>SUM(T150:T228)</f>
        <v>1014566</v>
      </c>
      <c r="U229" s="183">
        <f>SUM(U150:U228)</f>
        <v>592223</v>
      </c>
    </row>
    <row r="230" spans="1:21" x14ac:dyDescent="0.3">
      <c r="A230" s="42" t="s">
        <v>141</v>
      </c>
      <c r="B230" s="19"/>
      <c r="C230" s="1" t="s">
        <v>142</v>
      </c>
      <c r="D230" s="30"/>
      <c r="E230" s="15"/>
      <c r="F230" s="61"/>
      <c r="G230" s="15"/>
      <c r="H230" s="15"/>
      <c r="I230" s="15"/>
      <c r="J230" s="38"/>
      <c r="K230" s="61"/>
      <c r="L230" s="70"/>
      <c r="M230" s="69"/>
      <c r="N230" s="70"/>
      <c r="O230" s="69"/>
      <c r="P230" s="100"/>
      <c r="Q230" s="104"/>
      <c r="R230" s="158"/>
      <c r="S230" s="159"/>
      <c r="T230" s="112"/>
      <c r="U230" s="107"/>
    </row>
    <row r="231" spans="1:21" s="120" customFormat="1" x14ac:dyDescent="0.3">
      <c r="A231" s="41">
        <v>1</v>
      </c>
      <c r="B231" s="19"/>
      <c r="C231" s="1"/>
      <c r="D231" s="14" t="s">
        <v>143</v>
      </c>
      <c r="E231" s="15">
        <v>2105</v>
      </c>
      <c r="F231" s="61">
        <v>2697</v>
      </c>
      <c r="G231" s="15">
        <v>7939</v>
      </c>
      <c r="H231" s="15">
        <v>4749</v>
      </c>
      <c r="I231" s="15">
        <v>4132</v>
      </c>
      <c r="J231" s="38">
        <v>5305</v>
      </c>
      <c r="K231" s="61">
        <v>3844</v>
      </c>
      <c r="L231" s="151">
        <v>2984</v>
      </c>
      <c r="M231" s="75">
        <v>709</v>
      </c>
      <c r="N231" s="151">
        <v>4879</v>
      </c>
      <c r="O231" s="75">
        <v>574</v>
      </c>
      <c r="P231" s="121">
        <v>3528</v>
      </c>
      <c r="Q231" s="148">
        <v>682</v>
      </c>
      <c r="R231" s="114">
        <v>2238</v>
      </c>
      <c r="S231" s="115">
        <v>586</v>
      </c>
      <c r="T231" s="171">
        <v>6392</v>
      </c>
      <c r="U231" s="159">
        <v>991</v>
      </c>
    </row>
    <row r="232" spans="1:21" s="120" customFormat="1" x14ac:dyDescent="0.3">
      <c r="A232" s="41">
        <v>2</v>
      </c>
      <c r="B232" s="19"/>
      <c r="C232" s="1"/>
      <c r="D232" s="14" t="s">
        <v>144</v>
      </c>
      <c r="E232" s="15">
        <v>3736</v>
      </c>
      <c r="F232" s="61">
        <v>8879</v>
      </c>
      <c r="G232" s="15">
        <v>9493</v>
      </c>
      <c r="H232" s="15">
        <v>4818</v>
      </c>
      <c r="I232" s="15">
        <v>4224</v>
      </c>
      <c r="J232" s="38">
        <v>4279</v>
      </c>
      <c r="K232" s="61">
        <v>8556</v>
      </c>
      <c r="L232" s="151">
        <v>559</v>
      </c>
      <c r="M232" s="75">
        <v>205</v>
      </c>
      <c r="N232" s="151">
        <v>125</v>
      </c>
      <c r="O232" s="75">
        <v>58</v>
      </c>
      <c r="P232" s="121">
        <v>580</v>
      </c>
      <c r="Q232" s="148">
        <v>2703</v>
      </c>
      <c r="R232" s="114">
        <v>1180</v>
      </c>
      <c r="S232" s="115">
        <v>6387</v>
      </c>
      <c r="T232" s="171">
        <v>2282</v>
      </c>
      <c r="U232" s="172">
        <v>3173</v>
      </c>
    </row>
    <row r="233" spans="1:21" s="120" customFormat="1" x14ac:dyDescent="0.3">
      <c r="A233" s="41">
        <v>3</v>
      </c>
      <c r="B233" s="19"/>
      <c r="C233" s="1"/>
      <c r="D233" s="14" t="s">
        <v>145</v>
      </c>
      <c r="E233" s="15">
        <v>10069</v>
      </c>
      <c r="F233" s="61">
        <v>10144</v>
      </c>
      <c r="G233" s="15">
        <v>21878</v>
      </c>
      <c r="H233" s="15">
        <v>12259</v>
      </c>
      <c r="I233" s="15">
        <v>3883</v>
      </c>
      <c r="J233" s="38">
        <v>16406</v>
      </c>
      <c r="K233" s="61">
        <v>3603</v>
      </c>
      <c r="L233" s="151">
        <v>1044</v>
      </c>
      <c r="M233" s="75">
        <v>103</v>
      </c>
      <c r="N233" s="151">
        <v>11</v>
      </c>
      <c r="O233" s="75">
        <v>19</v>
      </c>
      <c r="P233" s="121">
        <v>35</v>
      </c>
      <c r="Q233" s="148">
        <v>1752</v>
      </c>
      <c r="R233" s="114">
        <v>15</v>
      </c>
      <c r="S233" s="115">
        <v>4258</v>
      </c>
      <c r="T233" s="158">
        <v>798</v>
      </c>
      <c r="U233" s="172">
        <v>5083</v>
      </c>
    </row>
    <row r="234" spans="1:21" s="120" customFormat="1" x14ac:dyDescent="0.3">
      <c r="A234" s="41">
        <v>4</v>
      </c>
      <c r="B234" s="19"/>
      <c r="C234" s="1"/>
      <c r="D234" s="14" t="s">
        <v>146</v>
      </c>
      <c r="E234" s="15">
        <v>25418</v>
      </c>
      <c r="F234" s="61">
        <v>30044</v>
      </c>
      <c r="G234" s="15">
        <v>18446</v>
      </c>
      <c r="H234" s="15">
        <v>26930</v>
      </c>
      <c r="I234" s="15">
        <v>91</v>
      </c>
      <c r="J234" s="38">
        <v>6135</v>
      </c>
      <c r="K234" s="61">
        <v>176</v>
      </c>
      <c r="L234" s="151">
        <v>1148</v>
      </c>
      <c r="M234" s="71" t="s">
        <v>15</v>
      </c>
      <c r="N234" s="151">
        <v>8826</v>
      </c>
      <c r="O234" s="71">
        <v>6</v>
      </c>
      <c r="P234" s="121">
        <v>12491</v>
      </c>
      <c r="Q234" s="148">
        <v>0</v>
      </c>
      <c r="R234" s="114">
        <v>18363</v>
      </c>
      <c r="S234" s="115">
        <v>0</v>
      </c>
      <c r="T234" s="171">
        <v>19827</v>
      </c>
      <c r="U234" s="159">
        <v>45</v>
      </c>
    </row>
    <row r="235" spans="1:21" s="120" customFormat="1" x14ac:dyDescent="0.3">
      <c r="A235" s="41">
        <v>5</v>
      </c>
      <c r="B235" s="19"/>
      <c r="C235" s="1"/>
      <c r="D235" s="14" t="s">
        <v>147</v>
      </c>
      <c r="E235" s="15">
        <v>27606</v>
      </c>
      <c r="F235" s="61">
        <v>27266</v>
      </c>
      <c r="G235" s="15">
        <v>27390</v>
      </c>
      <c r="H235" s="15">
        <v>29472</v>
      </c>
      <c r="I235" s="15">
        <v>290</v>
      </c>
      <c r="J235" s="38">
        <v>40088</v>
      </c>
      <c r="K235" s="61">
        <v>40</v>
      </c>
      <c r="L235" s="151">
        <v>11868</v>
      </c>
      <c r="M235" s="71" t="s">
        <v>15</v>
      </c>
      <c r="N235" s="151">
        <v>23165</v>
      </c>
      <c r="O235" s="71">
        <v>0</v>
      </c>
      <c r="P235" s="121">
        <v>39152</v>
      </c>
      <c r="Q235" s="148">
        <v>0</v>
      </c>
      <c r="R235" s="114">
        <v>41659</v>
      </c>
      <c r="S235" s="115">
        <v>0</v>
      </c>
      <c r="T235" s="171">
        <v>40246</v>
      </c>
      <c r="U235" s="115">
        <v>0</v>
      </c>
    </row>
    <row r="236" spans="1:21" s="120" customFormat="1" x14ac:dyDescent="0.3">
      <c r="A236" s="41">
        <v>6</v>
      </c>
      <c r="B236" s="19"/>
      <c r="C236" s="1"/>
      <c r="D236" s="14" t="s">
        <v>148</v>
      </c>
      <c r="E236" s="15">
        <v>3279</v>
      </c>
      <c r="F236" s="61">
        <v>4798</v>
      </c>
      <c r="G236" s="15">
        <v>2154</v>
      </c>
      <c r="H236" s="15">
        <v>655</v>
      </c>
      <c r="I236" s="15">
        <v>67</v>
      </c>
      <c r="J236" s="38">
        <v>810</v>
      </c>
      <c r="K236" s="61">
        <v>94</v>
      </c>
      <c r="L236" s="151">
        <v>1644</v>
      </c>
      <c r="M236" s="71" t="s">
        <v>15</v>
      </c>
      <c r="N236" s="151">
        <v>1673</v>
      </c>
      <c r="O236" s="71">
        <v>1</v>
      </c>
      <c r="P236" s="121">
        <v>3315</v>
      </c>
      <c r="Q236" s="148">
        <v>12</v>
      </c>
      <c r="R236" s="114">
        <v>2057</v>
      </c>
      <c r="S236" s="115">
        <v>0</v>
      </c>
      <c r="T236" s="171">
        <v>14372</v>
      </c>
      <c r="U236" s="115">
        <v>0</v>
      </c>
    </row>
    <row r="237" spans="1:21" x14ac:dyDescent="0.3">
      <c r="A237" s="41">
        <v>7</v>
      </c>
      <c r="B237" s="19"/>
      <c r="C237" s="1"/>
      <c r="D237" s="14" t="s">
        <v>149</v>
      </c>
      <c r="E237" s="15">
        <v>3206</v>
      </c>
      <c r="F237" s="61">
        <v>7329</v>
      </c>
      <c r="G237" s="25" t="s">
        <v>15</v>
      </c>
      <c r="H237" s="25" t="s">
        <v>15</v>
      </c>
      <c r="I237" s="25" t="s">
        <v>15</v>
      </c>
      <c r="J237" s="88" t="s">
        <v>15</v>
      </c>
      <c r="K237" s="62" t="s">
        <v>15</v>
      </c>
      <c r="L237" s="71" t="s">
        <v>15</v>
      </c>
      <c r="M237" s="71" t="s">
        <v>15</v>
      </c>
      <c r="N237" s="71">
        <v>0</v>
      </c>
      <c r="O237" s="71">
        <v>0</v>
      </c>
      <c r="P237" s="121">
        <v>0</v>
      </c>
      <c r="Q237" s="148">
        <v>0</v>
      </c>
      <c r="R237" s="114">
        <v>0</v>
      </c>
      <c r="S237" s="115">
        <v>0</v>
      </c>
      <c r="T237" s="115">
        <v>0</v>
      </c>
      <c r="U237" s="115">
        <v>0</v>
      </c>
    </row>
    <row r="238" spans="1:21" s="120" customFormat="1" x14ac:dyDescent="0.3">
      <c r="A238" s="41">
        <v>8</v>
      </c>
      <c r="B238" s="19"/>
      <c r="C238" s="1"/>
      <c r="D238" s="14" t="s">
        <v>150</v>
      </c>
      <c r="E238" s="25" t="s">
        <v>15</v>
      </c>
      <c r="F238" s="62" t="s">
        <v>15</v>
      </c>
      <c r="G238" s="15">
        <v>28926</v>
      </c>
      <c r="H238" s="15">
        <v>38311</v>
      </c>
      <c r="I238" s="15">
        <v>1068</v>
      </c>
      <c r="J238" s="38">
        <v>59895</v>
      </c>
      <c r="K238" s="61">
        <v>832</v>
      </c>
      <c r="L238" s="151">
        <v>6552</v>
      </c>
      <c r="M238" s="75">
        <v>88</v>
      </c>
      <c r="N238" s="151">
        <v>33355</v>
      </c>
      <c r="O238" s="75">
        <v>21</v>
      </c>
      <c r="P238" s="121">
        <v>12756</v>
      </c>
      <c r="Q238" s="148">
        <v>78</v>
      </c>
      <c r="R238" s="114">
        <v>16840</v>
      </c>
      <c r="S238" s="115">
        <v>452</v>
      </c>
      <c r="T238" s="171">
        <v>12311</v>
      </c>
      <c r="U238" s="159">
        <v>458</v>
      </c>
    </row>
    <row r="239" spans="1:21" x14ac:dyDescent="0.3">
      <c r="A239" s="41">
        <v>9</v>
      </c>
      <c r="B239" s="19"/>
      <c r="C239" s="1"/>
      <c r="D239" s="14" t="s">
        <v>151</v>
      </c>
      <c r="E239" s="15">
        <v>1161</v>
      </c>
      <c r="F239" s="61">
        <v>2176</v>
      </c>
      <c r="G239" s="15">
        <v>1821</v>
      </c>
      <c r="H239" s="25" t="s">
        <v>15</v>
      </c>
      <c r="I239" s="25" t="s">
        <v>15</v>
      </c>
      <c r="J239" s="88" t="s">
        <v>15</v>
      </c>
      <c r="K239" s="62" t="s">
        <v>15</v>
      </c>
      <c r="L239" s="71" t="s">
        <v>15</v>
      </c>
      <c r="M239" s="71" t="s">
        <v>15</v>
      </c>
      <c r="N239" s="71">
        <v>0</v>
      </c>
      <c r="O239" s="71">
        <v>0</v>
      </c>
      <c r="P239" s="121">
        <v>0</v>
      </c>
      <c r="Q239" s="148">
        <v>0</v>
      </c>
      <c r="R239" s="114">
        <v>0</v>
      </c>
      <c r="S239" s="115">
        <v>0</v>
      </c>
      <c r="T239" s="115">
        <v>0</v>
      </c>
      <c r="U239" s="115">
        <v>0</v>
      </c>
    </row>
    <row r="240" spans="1:21" s="120" customFormat="1" x14ac:dyDescent="0.3">
      <c r="A240" s="41">
        <v>10</v>
      </c>
      <c r="B240" s="19"/>
      <c r="C240" s="1"/>
      <c r="D240" s="154" t="s">
        <v>152</v>
      </c>
      <c r="E240" s="15">
        <v>5984</v>
      </c>
      <c r="F240" s="61">
        <v>2807</v>
      </c>
      <c r="G240" s="15">
        <v>5340</v>
      </c>
      <c r="H240" s="15">
        <v>2683</v>
      </c>
      <c r="I240" s="15">
        <v>53</v>
      </c>
      <c r="J240" s="38">
        <v>3827</v>
      </c>
      <c r="K240" s="61">
        <v>84</v>
      </c>
      <c r="L240" s="151">
        <v>97</v>
      </c>
      <c r="M240" s="71" t="s">
        <v>15</v>
      </c>
      <c r="N240" s="151">
        <v>262</v>
      </c>
      <c r="O240" s="71">
        <v>3</v>
      </c>
      <c r="P240" s="121">
        <v>1845</v>
      </c>
      <c r="Q240" s="148">
        <v>13</v>
      </c>
      <c r="R240" s="114">
        <v>1866</v>
      </c>
      <c r="S240" s="115">
        <v>37</v>
      </c>
      <c r="T240" s="171">
        <v>1176</v>
      </c>
      <c r="U240" s="159">
        <v>134</v>
      </c>
    </row>
    <row r="241" spans="1:21" x14ac:dyDescent="0.3">
      <c r="A241" s="41">
        <v>11</v>
      </c>
      <c r="B241" s="19"/>
      <c r="C241" s="1"/>
      <c r="D241" s="14" t="s">
        <v>153</v>
      </c>
      <c r="E241" s="15">
        <v>2623</v>
      </c>
      <c r="F241" s="61">
        <v>5293</v>
      </c>
      <c r="G241" s="25" t="s">
        <v>15</v>
      </c>
      <c r="H241" s="25" t="s">
        <v>15</v>
      </c>
      <c r="I241" s="25" t="s">
        <v>15</v>
      </c>
      <c r="J241" s="88" t="s">
        <v>15</v>
      </c>
      <c r="K241" s="62" t="s">
        <v>15</v>
      </c>
      <c r="L241" s="71" t="s">
        <v>15</v>
      </c>
      <c r="M241" s="71" t="s">
        <v>15</v>
      </c>
      <c r="N241" s="71">
        <v>0</v>
      </c>
      <c r="O241" s="71">
        <v>0</v>
      </c>
      <c r="P241" s="121">
        <v>0</v>
      </c>
      <c r="Q241" s="148">
        <v>0</v>
      </c>
      <c r="R241" s="114">
        <v>0</v>
      </c>
      <c r="S241" s="115">
        <v>0</v>
      </c>
      <c r="T241" s="115">
        <v>0</v>
      </c>
      <c r="U241" s="115">
        <v>0</v>
      </c>
    </row>
    <row r="242" spans="1:21" s="120" customFormat="1" x14ac:dyDescent="0.3">
      <c r="A242" s="41">
        <v>12</v>
      </c>
      <c r="B242" s="19"/>
      <c r="C242" s="1"/>
      <c r="D242" s="14" t="s">
        <v>154</v>
      </c>
      <c r="E242" s="25" t="s">
        <v>15</v>
      </c>
      <c r="F242" s="62" t="s">
        <v>15</v>
      </c>
      <c r="G242" s="15">
        <v>12566</v>
      </c>
      <c r="H242" s="15">
        <v>34040</v>
      </c>
      <c r="I242" s="15">
        <v>2706</v>
      </c>
      <c r="J242" s="38">
        <v>4724</v>
      </c>
      <c r="K242" s="61">
        <v>1471</v>
      </c>
      <c r="L242" s="151">
        <v>3606</v>
      </c>
      <c r="M242" s="75">
        <v>126</v>
      </c>
      <c r="N242" s="151">
        <v>10880</v>
      </c>
      <c r="O242" s="75">
        <v>160</v>
      </c>
      <c r="P242" s="121">
        <v>20836</v>
      </c>
      <c r="Q242" s="148">
        <v>1250</v>
      </c>
      <c r="R242" s="114">
        <v>22331</v>
      </c>
      <c r="S242" s="115">
        <v>6066</v>
      </c>
      <c r="T242" s="171">
        <v>12258</v>
      </c>
      <c r="U242" s="159">
        <v>950</v>
      </c>
    </row>
    <row r="243" spans="1:21" x14ac:dyDescent="0.3">
      <c r="A243" s="41">
        <v>13</v>
      </c>
      <c r="B243" s="19"/>
      <c r="C243" s="1"/>
      <c r="D243" s="14" t="s">
        <v>155</v>
      </c>
      <c r="E243" s="15">
        <v>2553</v>
      </c>
      <c r="F243" s="61">
        <v>8771</v>
      </c>
      <c r="G243" s="15">
        <v>5696</v>
      </c>
      <c r="H243" s="15">
        <v>4289</v>
      </c>
      <c r="I243" s="15">
        <v>206</v>
      </c>
      <c r="J243" s="38">
        <v>13155</v>
      </c>
      <c r="K243" s="61">
        <v>164</v>
      </c>
      <c r="L243" s="151">
        <v>3271</v>
      </c>
      <c r="M243" s="75">
        <v>54</v>
      </c>
      <c r="N243" s="151">
        <v>6205</v>
      </c>
      <c r="O243" s="75">
        <v>0</v>
      </c>
      <c r="P243" s="121">
        <v>0</v>
      </c>
      <c r="Q243" s="148">
        <v>0</v>
      </c>
      <c r="R243" s="114">
        <v>0</v>
      </c>
      <c r="S243" s="115">
        <v>0</v>
      </c>
      <c r="T243" s="171">
        <v>11730</v>
      </c>
      <c r="U243" s="115">
        <v>0</v>
      </c>
    </row>
    <row r="244" spans="1:21" x14ac:dyDescent="0.3">
      <c r="A244" s="41">
        <v>14</v>
      </c>
      <c r="B244" s="19"/>
      <c r="C244" s="1"/>
      <c r="D244" s="14" t="s">
        <v>156</v>
      </c>
      <c r="E244" s="15">
        <v>3774</v>
      </c>
      <c r="F244" s="61">
        <v>17396</v>
      </c>
      <c r="G244" s="25" t="s">
        <v>15</v>
      </c>
      <c r="H244" s="25" t="s">
        <v>15</v>
      </c>
      <c r="I244" s="25" t="s">
        <v>15</v>
      </c>
      <c r="J244" s="88" t="s">
        <v>15</v>
      </c>
      <c r="K244" s="62" t="s">
        <v>15</v>
      </c>
      <c r="L244" s="71" t="s">
        <v>15</v>
      </c>
      <c r="M244" s="71" t="s">
        <v>15</v>
      </c>
      <c r="N244" s="71">
        <v>0</v>
      </c>
      <c r="O244" s="71">
        <v>0</v>
      </c>
      <c r="P244" s="121">
        <v>0</v>
      </c>
      <c r="Q244" s="148">
        <v>0</v>
      </c>
      <c r="R244" s="114">
        <v>0</v>
      </c>
      <c r="S244" s="115">
        <v>0</v>
      </c>
      <c r="T244" s="115">
        <v>0</v>
      </c>
      <c r="U244" s="115">
        <v>0</v>
      </c>
    </row>
    <row r="245" spans="1:21" x14ac:dyDescent="0.3">
      <c r="A245" s="41">
        <v>15</v>
      </c>
      <c r="B245" s="19"/>
      <c r="C245" s="1"/>
      <c r="D245" s="14" t="s">
        <v>157</v>
      </c>
      <c r="E245" s="15">
        <v>14903</v>
      </c>
      <c r="F245" s="61">
        <v>12529</v>
      </c>
      <c r="G245" s="15">
        <v>5943</v>
      </c>
      <c r="H245" s="25" t="s">
        <v>15</v>
      </c>
      <c r="I245" s="25" t="s">
        <v>15</v>
      </c>
      <c r="J245" s="88" t="s">
        <v>15</v>
      </c>
      <c r="K245" s="62" t="s">
        <v>15</v>
      </c>
      <c r="L245" s="71" t="s">
        <v>15</v>
      </c>
      <c r="M245" s="71" t="s">
        <v>15</v>
      </c>
      <c r="N245" s="71">
        <v>0</v>
      </c>
      <c r="O245" s="71">
        <v>0</v>
      </c>
      <c r="P245" s="121">
        <v>0</v>
      </c>
      <c r="Q245" s="148">
        <v>0</v>
      </c>
      <c r="R245" s="114">
        <v>0</v>
      </c>
      <c r="S245" s="115">
        <v>0</v>
      </c>
      <c r="T245" s="115">
        <v>0</v>
      </c>
      <c r="U245" s="115">
        <v>0</v>
      </c>
    </row>
    <row r="246" spans="1:21" s="120" customFormat="1" x14ac:dyDescent="0.3">
      <c r="A246" s="41">
        <v>16</v>
      </c>
      <c r="B246" s="19"/>
      <c r="C246" s="1"/>
      <c r="D246" s="14" t="s">
        <v>158</v>
      </c>
      <c r="E246" s="25" t="s">
        <v>15</v>
      </c>
      <c r="F246" s="62" t="s">
        <v>15</v>
      </c>
      <c r="G246" s="15">
        <v>3573</v>
      </c>
      <c r="H246" s="15">
        <v>1125</v>
      </c>
      <c r="I246" s="15">
        <v>535</v>
      </c>
      <c r="J246" s="38">
        <v>854</v>
      </c>
      <c r="K246" s="61">
        <v>340</v>
      </c>
      <c r="L246" s="151">
        <v>1463</v>
      </c>
      <c r="M246" s="75">
        <v>32</v>
      </c>
      <c r="N246" s="151">
        <v>927</v>
      </c>
      <c r="O246" s="75">
        <v>0</v>
      </c>
      <c r="P246" s="121">
        <v>14</v>
      </c>
      <c r="Q246" s="148">
        <v>0</v>
      </c>
      <c r="R246" s="114">
        <v>307</v>
      </c>
      <c r="S246" s="115">
        <v>106</v>
      </c>
      <c r="T246" s="115">
        <v>0</v>
      </c>
      <c r="U246" s="159">
        <v>28</v>
      </c>
    </row>
    <row r="247" spans="1:21" s="120" customFormat="1" x14ac:dyDescent="0.3">
      <c r="A247" s="41">
        <v>17</v>
      </c>
      <c r="B247" s="19"/>
      <c r="C247" s="1"/>
      <c r="D247" s="14" t="s">
        <v>159</v>
      </c>
      <c r="E247" s="15">
        <v>11760</v>
      </c>
      <c r="F247" s="61">
        <v>7054</v>
      </c>
      <c r="G247" s="15">
        <v>3506</v>
      </c>
      <c r="H247" s="15">
        <v>2425</v>
      </c>
      <c r="I247" s="15">
        <v>381</v>
      </c>
      <c r="J247" s="88" t="s">
        <v>15</v>
      </c>
      <c r="K247" s="62" t="s">
        <v>15</v>
      </c>
      <c r="L247" s="151">
        <v>686</v>
      </c>
      <c r="M247" s="75">
        <v>50</v>
      </c>
      <c r="N247" s="151">
        <v>103</v>
      </c>
      <c r="O247" s="75">
        <v>0</v>
      </c>
      <c r="P247" s="121">
        <v>519</v>
      </c>
      <c r="Q247" s="148">
        <v>7</v>
      </c>
      <c r="R247" s="114">
        <v>1082</v>
      </c>
      <c r="S247" s="115">
        <v>11</v>
      </c>
      <c r="T247" s="158">
        <v>926</v>
      </c>
      <c r="U247" s="159">
        <v>103</v>
      </c>
    </row>
    <row r="248" spans="1:21" s="120" customFormat="1" ht="14.25" customHeight="1" x14ac:dyDescent="0.3">
      <c r="A248" s="41">
        <v>18</v>
      </c>
      <c r="B248" s="19"/>
      <c r="C248" s="1"/>
      <c r="D248" s="14" t="s">
        <v>160</v>
      </c>
      <c r="E248" s="15">
        <v>9262</v>
      </c>
      <c r="F248" s="61">
        <v>12246</v>
      </c>
      <c r="G248" s="15">
        <v>3790</v>
      </c>
      <c r="H248" s="15">
        <v>5696</v>
      </c>
      <c r="I248" s="15">
        <v>1390</v>
      </c>
      <c r="J248" s="38">
        <v>8223</v>
      </c>
      <c r="K248" s="61">
        <v>2016</v>
      </c>
      <c r="L248" s="151">
        <v>1175</v>
      </c>
      <c r="M248" s="75">
        <v>43</v>
      </c>
      <c r="N248" s="151">
        <v>708</v>
      </c>
      <c r="O248" s="75">
        <v>0</v>
      </c>
      <c r="P248" s="121">
        <v>2100</v>
      </c>
      <c r="Q248" s="148">
        <v>97</v>
      </c>
      <c r="R248" s="114">
        <v>4112</v>
      </c>
      <c r="S248" s="115">
        <v>1223</v>
      </c>
      <c r="T248" s="171">
        <v>1219</v>
      </c>
      <c r="U248" s="172">
        <v>2868</v>
      </c>
    </row>
    <row r="249" spans="1:21" s="120" customFormat="1" x14ac:dyDescent="0.3">
      <c r="A249" s="41">
        <v>19</v>
      </c>
      <c r="B249" s="19"/>
      <c r="C249" s="1"/>
      <c r="D249" s="14" t="s">
        <v>161</v>
      </c>
      <c r="E249" s="25">
        <v>21137</v>
      </c>
      <c r="F249" s="61">
        <v>15329</v>
      </c>
      <c r="G249" s="15">
        <v>3558</v>
      </c>
      <c r="H249" s="15">
        <v>1868</v>
      </c>
      <c r="I249" s="15">
        <v>86</v>
      </c>
      <c r="J249" s="38">
        <v>1831</v>
      </c>
      <c r="K249" s="61">
        <v>68</v>
      </c>
      <c r="L249" s="151">
        <v>2497</v>
      </c>
      <c r="M249" s="75">
        <v>0</v>
      </c>
      <c r="N249" s="151">
        <v>5144</v>
      </c>
      <c r="O249" s="75">
        <v>16</v>
      </c>
      <c r="P249" s="121">
        <v>10978</v>
      </c>
      <c r="Q249" s="148">
        <v>7</v>
      </c>
      <c r="R249" s="114">
        <v>13982</v>
      </c>
      <c r="S249" s="115">
        <v>680</v>
      </c>
      <c r="T249" s="171">
        <v>12698</v>
      </c>
      <c r="U249" s="159">
        <v>524</v>
      </c>
    </row>
    <row r="250" spans="1:21" s="120" customFormat="1" x14ac:dyDescent="0.3">
      <c r="A250" s="41">
        <v>20</v>
      </c>
      <c r="B250" s="19"/>
      <c r="C250" s="1"/>
      <c r="D250" s="14" t="s">
        <v>162</v>
      </c>
      <c r="E250" s="25" t="s">
        <v>15</v>
      </c>
      <c r="F250" s="62" t="s">
        <v>15</v>
      </c>
      <c r="G250" s="15">
        <v>22664</v>
      </c>
      <c r="H250" s="15">
        <v>27732</v>
      </c>
      <c r="I250" s="15">
        <v>2520</v>
      </c>
      <c r="J250" s="38">
        <v>39517</v>
      </c>
      <c r="K250" s="61">
        <v>818</v>
      </c>
      <c r="L250" s="151">
        <v>33941</v>
      </c>
      <c r="M250" s="75">
        <v>232</v>
      </c>
      <c r="N250" s="151">
        <v>16585</v>
      </c>
      <c r="O250" s="75">
        <v>23</v>
      </c>
      <c r="P250" s="121">
        <v>13467</v>
      </c>
      <c r="Q250" s="148">
        <v>96</v>
      </c>
      <c r="R250" s="114">
        <v>22161</v>
      </c>
      <c r="S250" s="115">
        <v>183</v>
      </c>
      <c r="T250" s="171">
        <v>46543</v>
      </c>
      <c r="U250" s="159">
        <v>246</v>
      </c>
    </row>
    <row r="251" spans="1:21" s="120" customFormat="1" ht="13.5" customHeight="1" x14ac:dyDescent="0.3">
      <c r="A251" s="41">
        <v>21</v>
      </c>
      <c r="B251" s="19"/>
      <c r="C251" s="1"/>
      <c r="D251" s="14" t="s">
        <v>163</v>
      </c>
      <c r="E251" s="25">
        <v>7671</v>
      </c>
      <c r="F251" s="61">
        <v>5756</v>
      </c>
      <c r="G251" s="15">
        <v>5192</v>
      </c>
      <c r="H251" s="15">
        <v>1094</v>
      </c>
      <c r="I251" s="15">
        <v>832</v>
      </c>
      <c r="J251" s="38">
        <v>2661</v>
      </c>
      <c r="K251" s="61">
        <v>1435</v>
      </c>
      <c r="L251" s="151">
        <v>2077</v>
      </c>
      <c r="M251" s="75">
        <v>359</v>
      </c>
      <c r="N251" s="151">
        <v>1834</v>
      </c>
      <c r="O251" s="75">
        <v>61</v>
      </c>
      <c r="P251" s="121">
        <v>1163</v>
      </c>
      <c r="Q251" s="148">
        <v>101</v>
      </c>
      <c r="R251" s="114">
        <v>828</v>
      </c>
      <c r="S251" s="115">
        <v>363</v>
      </c>
      <c r="T251" s="158">
        <v>810</v>
      </c>
      <c r="U251" s="159">
        <v>289</v>
      </c>
    </row>
    <row r="252" spans="1:21" s="120" customFormat="1" ht="13.5" customHeight="1" x14ac:dyDescent="0.3">
      <c r="A252" s="41">
        <v>22</v>
      </c>
      <c r="B252" s="19"/>
      <c r="C252" s="1"/>
      <c r="D252" s="14" t="s">
        <v>164</v>
      </c>
      <c r="E252" s="25" t="s">
        <v>15</v>
      </c>
      <c r="F252" s="62" t="s">
        <v>15</v>
      </c>
      <c r="G252" s="15">
        <v>36229</v>
      </c>
      <c r="H252" s="15">
        <v>13375</v>
      </c>
      <c r="I252" s="15">
        <v>322</v>
      </c>
      <c r="J252" s="38">
        <v>856</v>
      </c>
      <c r="K252" s="61">
        <v>780</v>
      </c>
      <c r="L252" s="151">
        <v>235</v>
      </c>
      <c r="M252" s="71" t="s">
        <v>15</v>
      </c>
      <c r="N252" s="151">
        <v>7</v>
      </c>
      <c r="O252" s="71">
        <v>0</v>
      </c>
      <c r="P252" s="121">
        <v>94</v>
      </c>
      <c r="Q252" s="148">
        <v>158</v>
      </c>
      <c r="R252" s="114">
        <v>0</v>
      </c>
      <c r="S252" s="115">
        <v>385</v>
      </c>
      <c r="T252" s="158">
        <v>307</v>
      </c>
      <c r="U252" s="159">
        <v>263</v>
      </c>
    </row>
    <row r="253" spans="1:21" ht="13.5" customHeight="1" x14ac:dyDescent="0.3">
      <c r="A253" s="41">
        <v>23</v>
      </c>
      <c r="B253" s="19"/>
      <c r="C253" s="1"/>
      <c r="D253" s="14" t="s">
        <v>165</v>
      </c>
      <c r="E253" s="25" t="s">
        <v>15</v>
      </c>
      <c r="F253" s="62" t="s">
        <v>15</v>
      </c>
      <c r="G253" s="15">
        <v>4914</v>
      </c>
      <c r="H253" s="25" t="s">
        <v>15</v>
      </c>
      <c r="I253" s="25" t="s">
        <v>15</v>
      </c>
      <c r="J253" s="88" t="s">
        <v>15</v>
      </c>
      <c r="K253" s="62" t="s">
        <v>15</v>
      </c>
      <c r="L253" s="71" t="s">
        <v>15</v>
      </c>
      <c r="M253" s="71" t="s">
        <v>15</v>
      </c>
      <c r="N253" s="71">
        <v>0</v>
      </c>
      <c r="O253" s="71">
        <v>0</v>
      </c>
      <c r="P253" s="121">
        <v>0</v>
      </c>
      <c r="Q253" s="148">
        <v>0</v>
      </c>
      <c r="R253" s="114">
        <v>0</v>
      </c>
      <c r="S253" s="115">
        <v>0</v>
      </c>
      <c r="T253" s="115">
        <v>0</v>
      </c>
      <c r="U253" s="115">
        <v>0</v>
      </c>
    </row>
    <row r="254" spans="1:21" s="120" customFormat="1" ht="13.5" customHeight="1" x14ac:dyDescent="0.3">
      <c r="A254" s="41">
        <v>24</v>
      </c>
      <c r="B254" s="19"/>
      <c r="C254" s="1"/>
      <c r="D254" s="14" t="s">
        <v>166</v>
      </c>
      <c r="E254" s="25" t="s">
        <v>15</v>
      </c>
      <c r="F254" s="62" t="s">
        <v>15</v>
      </c>
      <c r="G254" s="15">
        <v>30041</v>
      </c>
      <c r="H254" s="15">
        <v>8454</v>
      </c>
      <c r="I254" s="15">
        <v>50</v>
      </c>
      <c r="J254" s="38">
        <v>1470</v>
      </c>
      <c r="K254" s="62" t="s">
        <v>15</v>
      </c>
      <c r="L254" s="151">
        <v>114</v>
      </c>
      <c r="M254" s="75">
        <v>0</v>
      </c>
      <c r="N254" s="151">
        <v>1430</v>
      </c>
      <c r="O254" s="75">
        <v>8</v>
      </c>
      <c r="P254" s="121">
        <v>944</v>
      </c>
      <c r="Q254" s="148">
        <v>0</v>
      </c>
      <c r="R254" s="114">
        <v>555</v>
      </c>
      <c r="S254" s="115">
        <v>0</v>
      </c>
      <c r="T254" s="158">
        <v>898</v>
      </c>
      <c r="U254" s="115">
        <v>0</v>
      </c>
    </row>
    <row r="255" spans="1:21" s="120" customFormat="1" ht="13.5" customHeight="1" x14ac:dyDescent="0.3">
      <c r="A255" s="41">
        <v>25</v>
      </c>
      <c r="B255" s="19"/>
      <c r="C255" s="1"/>
      <c r="D255" s="14" t="s">
        <v>167</v>
      </c>
      <c r="E255" s="25" t="s">
        <v>15</v>
      </c>
      <c r="F255" s="62" t="s">
        <v>15</v>
      </c>
      <c r="G255" s="15">
        <v>7416</v>
      </c>
      <c r="H255" s="15">
        <v>6433</v>
      </c>
      <c r="I255" s="15">
        <v>341</v>
      </c>
      <c r="J255" s="38">
        <v>2415</v>
      </c>
      <c r="K255" s="61">
        <v>233</v>
      </c>
      <c r="L255" s="151">
        <v>5690</v>
      </c>
      <c r="M255" s="75">
        <v>74</v>
      </c>
      <c r="N255" s="151">
        <v>8826</v>
      </c>
      <c r="O255" s="75">
        <v>218</v>
      </c>
      <c r="P255" s="121">
        <v>28346</v>
      </c>
      <c r="Q255" s="148">
        <v>138</v>
      </c>
      <c r="R255" s="114">
        <v>26850</v>
      </c>
      <c r="S255" s="115">
        <v>788</v>
      </c>
      <c r="T255" s="171">
        <v>55719</v>
      </c>
      <c r="U255" s="172">
        <v>1069</v>
      </c>
    </row>
    <row r="256" spans="1:21" ht="13.5" customHeight="1" x14ac:dyDescent="0.3">
      <c r="A256" s="41">
        <v>26</v>
      </c>
      <c r="B256" s="19"/>
      <c r="C256" s="1"/>
      <c r="D256" s="14" t="s">
        <v>168</v>
      </c>
      <c r="E256" s="25" t="s">
        <v>15</v>
      </c>
      <c r="F256" s="62" t="s">
        <v>15</v>
      </c>
      <c r="G256" s="15">
        <v>6658</v>
      </c>
      <c r="H256" s="15">
        <v>5844</v>
      </c>
      <c r="I256" s="15">
        <v>637</v>
      </c>
      <c r="J256" s="38">
        <v>5671</v>
      </c>
      <c r="K256" s="61">
        <v>727</v>
      </c>
      <c r="L256" s="151">
        <v>114</v>
      </c>
      <c r="M256" s="71" t="s">
        <v>15</v>
      </c>
      <c r="N256" s="151">
        <v>4551</v>
      </c>
      <c r="O256" s="71">
        <v>181</v>
      </c>
      <c r="P256" s="121">
        <v>0</v>
      </c>
      <c r="Q256" s="148">
        <v>0</v>
      </c>
      <c r="R256" s="114">
        <v>0</v>
      </c>
      <c r="S256" s="115">
        <v>0</v>
      </c>
      <c r="T256" s="158"/>
      <c r="U256" s="159"/>
    </row>
    <row r="257" spans="1:21" s="120" customFormat="1" ht="13.5" customHeight="1" x14ac:dyDescent="0.3">
      <c r="A257" s="41">
        <v>27</v>
      </c>
      <c r="B257" s="19"/>
      <c r="C257" s="1"/>
      <c r="D257" s="14" t="s">
        <v>169</v>
      </c>
      <c r="E257" s="25" t="s">
        <v>15</v>
      </c>
      <c r="F257" s="62" t="s">
        <v>15</v>
      </c>
      <c r="G257" s="15">
        <v>5393</v>
      </c>
      <c r="H257" s="15">
        <v>2086</v>
      </c>
      <c r="I257" s="15">
        <v>26</v>
      </c>
      <c r="J257" s="38">
        <v>4605</v>
      </c>
      <c r="K257" s="61">
        <v>108</v>
      </c>
      <c r="L257" s="151">
        <v>171</v>
      </c>
      <c r="M257" s="71" t="s">
        <v>15</v>
      </c>
      <c r="N257" s="151">
        <v>133</v>
      </c>
      <c r="O257" s="71">
        <v>5</v>
      </c>
      <c r="P257" s="121">
        <v>812</v>
      </c>
      <c r="Q257" s="148">
        <v>519</v>
      </c>
      <c r="R257" s="114">
        <v>2645</v>
      </c>
      <c r="S257" s="115">
        <v>640</v>
      </c>
      <c r="T257" s="171">
        <v>2376</v>
      </c>
      <c r="U257" s="159">
        <v>592</v>
      </c>
    </row>
    <row r="258" spans="1:21" s="120" customFormat="1" ht="13.5" customHeight="1" x14ac:dyDescent="0.3">
      <c r="A258" s="41">
        <v>28</v>
      </c>
      <c r="B258" s="19"/>
      <c r="C258" s="1"/>
      <c r="D258" s="14" t="s">
        <v>170</v>
      </c>
      <c r="E258" s="25" t="s">
        <v>15</v>
      </c>
      <c r="F258" s="62" t="s">
        <v>15</v>
      </c>
      <c r="G258" s="25" t="s">
        <v>15</v>
      </c>
      <c r="H258" s="15">
        <v>737</v>
      </c>
      <c r="I258" s="15">
        <v>173</v>
      </c>
      <c r="J258" s="38">
        <v>503</v>
      </c>
      <c r="K258" s="61">
        <v>163</v>
      </c>
      <c r="L258" s="151">
        <v>221</v>
      </c>
      <c r="M258" s="71" t="s">
        <v>15</v>
      </c>
      <c r="N258" s="151">
        <v>0</v>
      </c>
      <c r="O258" s="71">
        <v>0</v>
      </c>
      <c r="P258" s="121">
        <v>100</v>
      </c>
      <c r="Q258" s="148">
        <v>0</v>
      </c>
      <c r="R258" s="114">
        <v>1607</v>
      </c>
      <c r="S258" s="115">
        <v>0</v>
      </c>
      <c r="T258" s="158">
        <v>90</v>
      </c>
      <c r="U258" s="115">
        <v>0</v>
      </c>
    </row>
    <row r="259" spans="1:21" ht="13.5" customHeight="1" x14ac:dyDescent="0.3">
      <c r="A259" s="41">
        <v>29</v>
      </c>
      <c r="B259" s="19"/>
      <c r="C259" s="1"/>
      <c r="D259" s="14" t="s">
        <v>171</v>
      </c>
      <c r="E259" s="25" t="s">
        <v>15</v>
      </c>
      <c r="F259" s="62" t="s">
        <v>15</v>
      </c>
      <c r="G259" s="25" t="s">
        <v>15</v>
      </c>
      <c r="H259" s="15">
        <v>3208</v>
      </c>
      <c r="I259" s="15">
        <v>2665</v>
      </c>
      <c r="J259" s="38">
        <v>2227</v>
      </c>
      <c r="K259" s="61">
        <v>3441</v>
      </c>
      <c r="L259" s="71" t="s">
        <v>15</v>
      </c>
      <c r="M259" s="71" t="s">
        <v>15</v>
      </c>
      <c r="N259" s="71">
        <v>0</v>
      </c>
      <c r="O259" s="71">
        <v>0</v>
      </c>
      <c r="P259" s="121">
        <v>0</v>
      </c>
      <c r="Q259" s="148">
        <v>0</v>
      </c>
      <c r="R259" s="114">
        <v>0</v>
      </c>
      <c r="S259" s="115">
        <v>0</v>
      </c>
      <c r="T259" s="115">
        <v>0</v>
      </c>
      <c r="U259" s="115">
        <v>0</v>
      </c>
    </row>
    <row r="260" spans="1:21" s="120" customFormat="1" ht="13.5" customHeight="1" x14ac:dyDescent="0.3">
      <c r="A260" s="41">
        <v>30</v>
      </c>
      <c r="B260" s="19"/>
      <c r="C260" s="1"/>
      <c r="D260" s="14" t="s">
        <v>172</v>
      </c>
      <c r="E260" s="25" t="s">
        <v>15</v>
      </c>
      <c r="F260" s="62" t="s">
        <v>15</v>
      </c>
      <c r="G260" s="25" t="s">
        <v>15</v>
      </c>
      <c r="H260" s="25">
        <v>18081</v>
      </c>
      <c r="I260" s="25" t="s">
        <v>15</v>
      </c>
      <c r="J260" s="88">
        <v>22518</v>
      </c>
      <c r="K260" s="62" t="s">
        <v>15</v>
      </c>
      <c r="L260" s="71" t="s">
        <v>15</v>
      </c>
      <c r="M260" s="71" t="s">
        <v>15</v>
      </c>
      <c r="N260" s="71">
        <v>9374</v>
      </c>
      <c r="O260" s="71">
        <v>0</v>
      </c>
      <c r="P260" s="121">
        <v>4732</v>
      </c>
      <c r="Q260" s="148">
        <v>0</v>
      </c>
      <c r="R260" s="114">
        <v>5260</v>
      </c>
      <c r="S260" s="115">
        <v>0</v>
      </c>
      <c r="T260" s="171">
        <v>2816</v>
      </c>
      <c r="U260" s="115">
        <v>0</v>
      </c>
    </row>
    <row r="261" spans="1:21" s="120" customFormat="1" ht="13.5" customHeight="1" x14ac:dyDescent="0.3">
      <c r="A261" s="41">
        <v>31</v>
      </c>
      <c r="B261" s="19"/>
      <c r="C261" s="1"/>
      <c r="D261" s="14" t="s">
        <v>173</v>
      </c>
      <c r="E261" s="25" t="s">
        <v>15</v>
      </c>
      <c r="F261" s="62" t="s">
        <v>15</v>
      </c>
      <c r="G261" s="25" t="s">
        <v>15</v>
      </c>
      <c r="H261" s="25">
        <v>5313</v>
      </c>
      <c r="I261" s="15">
        <v>1013</v>
      </c>
      <c r="J261" s="88">
        <v>4392</v>
      </c>
      <c r="K261" s="61">
        <v>24</v>
      </c>
      <c r="L261" s="151">
        <v>127</v>
      </c>
      <c r="M261" s="71" t="s">
        <v>15</v>
      </c>
      <c r="N261" s="151">
        <v>215</v>
      </c>
      <c r="O261" s="71">
        <v>0</v>
      </c>
      <c r="P261" s="121">
        <v>819</v>
      </c>
      <c r="Q261" s="148">
        <v>0</v>
      </c>
      <c r="R261" s="114">
        <v>2456</v>
      </c>
      <c r="S261" s="115">
        <v>0</v>
      </c>
      <c r="T261" s="171">
        <v>8564</v>
      </c>
      <c r="U261" s="115">
        <v>0</v>
      </c>
    </row>
    <row r="262" spans="1:21" s="120" customFormat="1" ht="13.5" customHeight="1" x14ac:dyDescent="0.3">
      <c r="A262" s="41">
        <v>32</v>
      </c>
      <c r="B262" s="19"/>
      <c r="C262" s="1"/>
      <c r="D262" s="14" t="s">
        <v>174</v>
      </c>
      <c r="E262" s="25" t="s">
        <v>15</v>
      </c>
      <c r="F262" s="62" t="s">
        <v>15</v>
      </c>
      <c r="G262" s="25" t="s">
        <v>15</v>
      </c>
      <c r="H262" s="25">
        <v>12408</v>
      </c>
      <c r="I262" s="15">
        <v>11</v>
      </c>
      <c r="J262" s="88" t="s">
        <v>15</v>
      </c>
      <c r="K262" s="62" t="s">
        <v>15</v>
      </c>
      <c r="L262" s="151">
        <v>607</v>
      </c>
      <c r="M262" s="71" t="s">
        <v>15</v>
      </c>
      <c r="N262" s="151">
        <v>2164</v>
      </c>
      <c r="O262" s="71">
        <v>0</v>
      </c>
      <c r="P262" s="121">
        <v>3387</v>
      </c>
      <c r="Q262" s="148">
        <v>0</v>
      </c>
      <c r="R262" s="114">
        <v>4264</v>
      </c>
      <c r="S262" s="115">
        <v>0</v>
      </c>
      <c r="T262" s="171">
        <v>5288</v>
      </c>
      <c r="U262" s="115">
        <v>0</v>
      </c>
    </row>
    <row r="263" spans="1:21" ht="13.5" customHeight="1" x14ac:dyDescent="0.3">
      <c r="A263" s="41">
        <v>33</v>
      </c>
      <c r="B263" s="19"/>
      <c r="C263" s="1"/>
      <c r="D263" s="14" t="s">
        <v>175</v>
      </c>
      <c r="E263" s="25" t="s">
        <v>15</v>
      </c>
      <c r="F263" s="62" t="s">
        <v>15</v>
      </c>
      <c r="G263" s="25" t="s">
        <v>15</v>
      </c>
      <c r="H263" s="25">
        <v>4929</v>
      </c>
      <c r="I263" s="15">
        <v>93</v>
      </c>
      <c r="J263" s="88">
        <v>6128</v>
      </c>
      <c r="K263" s="61">
        <v>194</v>
      </c>
      <c r="L263" s="71" t="s">
        <v>15</v>
      </c>
      <c r="M263" s="71" t="s">
        <v>15</v>
      </c>
      <c r="N263" s="71">
        <v>0</v>
      </c>
      <c r="O263" s="71">
        <v>0</v>
      </c>
      <c r="P263" s="121">
        <v>0</v>
      </c>
      <c r="Q263" s="148">
        <v>0</v>
      </c>
      <c r="R263" s="114">
        <v>0</v>
      </c>
      <c r="S263" s="115">
        <v>0</v>
      </c>
      <c r="T263" s="115">
        <v>0</v>
      </c>
      <c r="U263" s="115">
        <v>0</v>
      </c>
    </row>
    <row r="264" spans="1:21" ht="13.5" customHeight="1" x14ac:dyDescent="0.3">
      <c r="A264" s="41">
        <v>34</v>
      </c>
      <c r="B264" s="19"/>
      <c r="C264" s="1"/>
      <c r="D264" s="14" t="s">
        <v>176</v>
      </c>
      <c r="E264" s="25" t="s">
        <v>15</v>
      </c>
      <c r="F264" s="62" t="s">
        <v>15</v>
      </c>
      <c r="G264" s="25" t="s">
        <v>15</v>
      </c>
      <c r="H264" s="25">
        <v>2583</v>
      </c>
      <c r="I264" s="15">
        <v>116</v>
      </c>
      <c r="J264" s="88">
        <v>4186</v>
      </c>
      <c r="K264" s="61">
        <v>59</v>
      </c>
      <c r="L264" s="71" t="s">
        <v>15</v>
      </c>
      <c r="M264" s="71" t="s">
        <v>15</v>
      </c>
      <c r="N264" s="71">
        <v>0</v>
      </c>
      <c r="O264" s="71">
        <v>0</v>
      </c>
      <c r="P264" s="121">
        <v>0</v>
      </c>
      <c r="Q264" s="148">
        <v>0</v>
      </c>
      <c r="R264" s="114">
        <v>0</v>
      </c>
      <c r="S264" s="115">
        <v>0</v>
      </c>
      <c r="T264" s="115">
        <v>0</v>
      </c>
      <c r="U264" s="115">
        <v>0</v>
      </c>
    </row>
    <row r="265" spans="1:21" s="120" customFormat="1" ht="13.5" customHeight="1" x14ac:dyDescent="0.3">
      <c r="A265" s="41">
        <v>35</v>
      </c>
      <c r="B265" s="19"/>
      <c r="C265" s="1"/>
      <c r="D265" s="14" t="s">
        <v>230</v>
      </c>
      <c r="E265" s="25" t="s">
        <v>15</v>
      </c>
      <c r="F265" s="25" t="s">
        <v>15</v>
      </c>
      <c r="G265" s="25" t="s">
        <v>15</v>
      </c>
      <c r="H265" s="25" t="s">
        <v>15</v>
      </c>
      <c r="I265" s="25" t="s">
        <v>15</v>
      </c>
      <c r="J265" s="25" t="s">
        <v>15</v>
      </c>
      <c r="K265" s="25" t="s">
        <v>15</v>
      </c>
      <c r="L265" s="25" t="s">
        <v>15</v>
      </c>
      <c r="M265" s="25" t="s">
        <v>15</v>
      </c>
      <c r="N265" s="71">
        <v>25</v>
      </c>
      <c r="O265" s="71">
        <v>0</v>
      </c>
      <c r="P265" s="121">
        <v>896</v>
      </c>
      <c r="Q265" s="148">
        <v>0</v>
      </c>
      <c r="R265" s="114">
        <v>1324</v>
      </c>
      <c r="S265" s="115">
        <v>0</v>
      </c>
      <c r="T265" s="115">
        <v>0</v>
      </c>
      <c r="U265" s="115">
        <v>0</v>
      </c>
    </row>
    <row r="266" spans="1:21" s="120" customFormat="1" ht="13.5" customHeight="1" x14ac:dyDescent="0.3">
      <c r="A266" s="41">
        <v>36</v>
      </c>
      <c r="B266" s="19"/>
      <c r="C266" s="1"/>
      <c r="D266" s="14" t="s">
        <v>231</v>
      </c>
      <c r="E266" s="25" t="s">
        <v>15</v>
      </c>
      <c r="F266" s="25" t="s">
        <v>15</v>
      </c>
      <c r="G266" s="25" t="s">
        <v>15</v>
      </c>
      <c r="H266" s="25" t="s">
        <v>15</v>
      </c>
      <c r="I266" s="25" t="s">
        <v>15</v>
      </c>
      <c r="J266" s="25" t="s">
        <v>15</v>
      </c>
      <c r="K266" s="25" t="s">
        <v>15</v>
      </c>
      <c r="L266" s="25" t="s">
        <v>15</v>
      </c>
      <c r="M266" s="25" t="s">
        <v>15</v>
      </c>
      <c r="N266" s="151">
        <v>7996</v>
      </c>
      <c r="O266" s="71">
        <v>0</v>
      </c>
      <c r="P266" s="121">
        <v>6753</v>
      </c>
      <c r="Q266" s="148">
        <v>0</v>
      </c>
      <c r="R266" s="114">
        <v>26846</v>
      </c>
      <c r="S266" s="115">
        <v>392</v>
      </c>
      <c r="T266" s="171">
        <v>17029</v>
      </c>
      <c r="U266" s="159">
        <v>232</v>
      </c>
    </row>
    <row r="267" spans="1:21" s="120" customFormat="1" ht="13.5" customHeight="1" x14ac:dyDescent="0.3">
      <c r="A267" s="41">
        <v>37</v>
      </c>
      <c r="B267" s="19"/>
      <c r="C267" s="1"/>
      <c r="D267" s="14" t="s">
        <v>232</v>
      </c>
      <c r="E267" s="25" t="s">
        <v>15</v>
      </c>
      <c r="F267" s="25" t="s">
        <v>15</v>
      </c>
      <c r="G267" s="25" t="s">
        <v>15</v>
      </c>
      <c r="H267" s="25" t="s">
        <v>15</v>
      </c>
      <c r="I267" s="25" t="s">
        <v>15</v>
      </c>
      <c r="J267" s="25" t="s">
        <v>15</v>
      </c>
      <c r="K267" s="25" t="s">
        <v>15</v>
      </c>
      <c r="L267" s="25" t="s">
        <v>15</v>
      </c>
      <c r="M267" s="25" t="s">
        <v>15</v>
      </c>
      <c r="N267" s="151">
        <v>0</v>
      </c>
      <c r="O267" s="71">
        <v>0</v>
      </c>
      <c r="P267" s="121">
        <v>1736</v>
      </c>
      <c r="Q267" s="148">
        <v>0</v>
      </c>
      <c r="R267" s="114">
        <v>727</v>
      </c>
      <c r="S267" s="115">
        <v>0</v>
      </c>
      <c r="T267" s="158">
        <v>352</v>
      </c>
      <c r="U267" s="174">
        <v>0</v>
      </c>
    </row>
    <row r="268" spans="1:21" ht="13.5" customHeight="1" x14ac:dyDescent="0.3">
      <c r="A268" s="41">
        <v>38</v>
      </c>
      <c r="B268" s="19"/>
      <c r="C268" s="1"/>
      <c r="D268" s="14" t="s">
        <v>233</v>
      </c>
      <c r="E268" s="25" t="s">
        <v>15</v>
      </c>
      <c r="F268" s="25" t="s">
        <v>15</v>
      </c>
      <c r="G268" s="25" t="s">
        <v>15</v>
      </c>
      <c r="H268" s="25" t="s">
        <v>15</v>
      </c>
      <c r="I268" s="25" t="s">
        <v>15</v>
      </c>
      <c r="J268" s="25" t="s">
        <v>15</v>
      </c>
      <c r="K268" s="25" t="s">
        <v>15</v>
      </c>
      <c r="L268" s="25" t="s">
        <v>15</v>
      </c>
      <c r="M268" s="25" t="s">
        <v>15</v>
      </c>
      <c r="N268" s="71">
        <v>218</v>
      </c>
      <c r="O268" s="71">
        <v>10</v>
      </c>
      <c r="P268" s="121">
        <v>19</v>
      </c>
      <c r="Q268" s="148">
        <v>0</v>
      </c>
      <c r="R268" s="114">
        <v>0</v>
      </c>
      <c r="S268" s="115">
        <v>0</v>
      </c>
      <c r="T268" s="115">
        <v>0</v>
      </c>
      <c r="U268" s="115">
        <v>0</v>
      </c>
    </row>
    <row r="269" spans="1:21" s="120" customFormat="1" ht="13.5" customHeight="1" x14ac:dyDescent="0.3">
      <c r="A269" s="41">
        <v>39</v>
      </c>
      <c r="B269" s="19"/>
      <c r="C269" s="1"/>
      <c r="D269" s="14" t="s">
        <v>234</v>
      </c>
      <c r="E269" s="25" t="s">
        <v>15</v>
      </c>
      <c r="F269" s="25" t="s">
        <v>15</v>
      </c>
      <c r="G269" s="25" t="s">
        <v>15</v>
      </c>
      <c r="H269" s="25" t="s">
        <v>15</v>
      </c>
      <c r="I269" s="25" t="s">
        <v>15</v>
      </c>
      <c r="J269" s="25" t="s">
        <v>15</v>
      </c>
      <c r="K269" s="25" t="s">
        <v>15</v>
      </c>
      <c r="L269" s="25" t="s">
        <v>15</v>
      </c>
      <c r="M269" s="25" t="s">
        <v>15</v>
      </c>
      <c r="N269" s="71">
        <v>0</v>
      </c>
      <c r="O269" s="71">
        <v>0</v>
      </c>
      <c r="P269" s="121">
        <v>1375</v>
      </c>
      <c r="Q269" s="148">
        <v>0</v>
      </c>
      <c r="R269" s="114">
        <v>3037</v>
      </c>
      <c r="S269" s="115">
        <v>0</v>
      </c>
      <c r="T269" s="171">
        <v>10943</v>
      </c>
      <c r="U269" s="115">
        <v>0</v>
      </c>
    </row>
    <row r="270" spans="1:21" s="120" customFormat="1" ht="13.5" customHeight="1" x14ac:dyDescent="0.3">
      <c r="A270" s="41">
        <v>40</v>
      </c>
      <c r="B270" s="19"/>
      <c r="C270" s="1"/>
      <c r="D270" s="13" t="s">
        <v>261</v>
      </c>
      <c r="E270" s="25" t="s">
        <v>15</v>
      </c>
      <c r="F270" s="25" t="s">
        <v>15</v>
      </c>
      <c r="G270" s="25" t="s">
        <v>15</v>
      </c>
      <c r="H270" s="25" t="s">
        <v>15</v>
      </c>
      <c r="I270" s="25" t="s">
        <v>15</v>
      </c>
      <c r="J270" s="25" t="s">
        <v>15</v>
      </c>
      <c r="K270" s="25" t="s">
        <v>15</v>
      </c>
      <c r="L270" s="25" t="s">
        <v>15</v>
      </c>
      <c r="M270" s="25" t="s">
        <v>15</v>
      </c>
      <c r="N270" s="102">
        <v>0</v>
      </c>
      <c r="O270" s="71">
        <v>0</v>
      </c>
      <c r="P270" s="121">
        <v>9527</v>
      </c>
      <c r="Q270" s="148">
        <v>0</v>
      </c>
      <c r="R270" s="114">
        <v>10711</v>
      </c>
      <c r="S270" s="115">
        <v>0</v>
      </c>
      <c r="T270" s="115">
        <v>0</v>
      </c>
      <c r="U270" s="115">
        <v>0</v>
      </c>
    </row>
    <row r="271" spans="1:21" s="120" customFormat="1" ht="13.5" customHeight="1" x14ac:dyDescent="0.3">
      <c r="A271" s="41">
        <v>41</v>
      </c>
      <c r="B271" s="19"/>
      <c r="C271" s="1"/>
      <c r="D271" s="14" t="s">
        <v>277</v>
      </c>
      <c r="E271" s="25" t="s">
        <v>15</v>
      </c>
      <c r="F271" s="25" t="s">
        <v>15</v>
      </c>
      <c r="G271" s="25" t="s">
        <v>15</v>
      </c>
      <c r="H271" s="25" t="s">
        <v>15</v>
      </c>
      <c r="I271" s="25" t="s">
        <v>15</v>
      </c>
      <c r="J271" s="25" t="s">
        <v>15</v>
      </c>
      <c r="K271" s="25" t="s">
        <v>15</v>
      </c>
      <c r="L271" s="25" t="s">
        <v>15</v>
      </c>
      <c r="M271" s="25" t="s">
        <v>15</v>
      </c>
      <c r="N271" s="102">
        <v>0</v>
      </c>
      <c r="O271" s="71">
        <v>0</v>
      </c>
      <c r="P271" s="71">
        <v>0</v>
      </c>
      <c r="Q271" s="148">
        <v>0</v>
      </c>
      <c r="R271" s="114">
        <v>5464</v>
      </c>
      <c r="S271" s="115">
        <v>0</v>
      </c>
      <c r="T271" s="171">
        <v>12120</v>
      </c>
      <c r="U271" s="115">
        <v>0</v>
      </c>
    </row>
    <row r="272" spans="1:21" s="120" customFormat="1" ht="13.5" customHeight="1" x14ac:dyDescent="0.3">
      <c r="A272" s="41">
        <v>42</v>
      </c>
      <c r="B272" s="19"/>
      <c r="C272" s="1"/>
      <c r="D272" s="44" t="s">
        <v>278</v>
      </c>
      <c r="E272" s="25" t="s">
        <v>15</v>
      </c>
      <c r="F272" s="25" t="s">
        <v>15</v>
      </c>
      <c r="G272" s="25" t="s">
        <v>15</v>
      </c>
      <c r="H272" s="25" t="s">
        <v>15</v>
      </c>
      <c r="I272" s="25" t="s">
        <v>15</v>
      </c>
      <c r="J272" s="25" t="s">
        <v>15</v>
      </c>
      <c r="K272" s="25" t="s">
        <v>15</v>
      </c>
      <c r="L272" s="25" t="s">
        <v>15</v>
      </c>
      <c r="M272" s="25" t="s">
        <v>15</v>
      </c>
      <c r="N272" s="102">
        <v>0</v>
      </c>
      <c r="O272" s="71">
        <v>0</v>
      </c>
      <c r="P272" s="71">
        <v>0</v>
      </c>
      <c r="Q272" s="148">
        <v>0</v>
      </c>
      <c r="R272" s="114">
        <v>1364</v>
      </c>
      <c r="S272" s="115">
        <v>221</v>
      </c>
      <c r="T272" s="171">
        <v>1305</v>
      </c>
      <c r="U272" s="159">
        <v>73</v>
      </c>
    </row>
    <row r="273" spans="1:25" ht="13.5" customHeight="1" x14ac:dyDescent="0.3">
      <c r="B273" s="32"/>
      <c r="C273" s="28" t="s">
        <v>25</v>
      </c>
      <c r="D273" s="43"/>
      <c r="E273" s="29">
        <f>SUM(E231:E257)</f>
        <v>156247</v>
      </c>
      <c r="F273" s="60">
        <f>SUM(F231:F257)</f>
        <v>180514</v>
      </c>
      <c r="G273" s="29">
        <f>SUM(G231:G257)</f>
        <v>280526</v>
      </c>
      <c r="H273" s="29">
        <f>SUM(H231:H269)</f>
        <v>281597</v>
      </c>
      <c r="I273" s="29">
        <f>SUM(I231:I269)</f>
        <v>27911</v>
      </c>
      <c r="J273" s="87">
        <f>SUM(J231:J269)</f>
        <v>262681</v>
      </c>
      <c r="K273" s="60">
        <f>SUM(K231:K269)</f>
        <v>29270</v>
      </c>
      <c r="L273" s="60">
        <f t="shared" ref="L273:M273" si="22">SUM(L231:L269)</f>
        <v>81891</v>
      </c>
      <c r="M273" s="29">
        <f t="shared" si="22"/>
        <v>2075</v>
      </c>
      <c r="N273" s="60">
        <f>SUM(N231:N270)</f>
        <v>149621</v>
      </c>
      <c r="O273" s="29">
        <f>SUM(O231:O270)</f>
        <v>1364</v>
      </c>
      <c r="P273" s="155">
        <f>SUM(P231:P269)</f>
        <v>172792</v>
      </c>
      <c r="Q273" s="156">
        <f>SUM(Q231:Q269)</f>
        <v>7613</v>
      </c>
      <c r="R273" s="117">
        <f>SUM(R231:R272)</f>
        <v>242131</v>
      </c>
      <c r="S273" s="116">
        <f>SUM(S231:S272)</f>
        <v>22778</v>
      </c>
      <c r="T273" s="117">
        <f>SUM(T231:T272)</f>
        <v>301395</v>
      </c>
      <c r="U273" s="116">
        <f t="shared" ref="U273" si="23">SUM(U231:U272)</f>
        <v>17121</v>
      </c>
    </row>
    <row r="274" spans="1:25" ht="13.5" customHeight="1" x14ac:dyDescent="0.3">
      <c r="A274" s="42" t="s">
        <v>177</v>
      </c>
      <c r="B274" s="19"/>
      <c r="C274" s="1"/>
      <c r="D274" s="30" t="s">
        <v>178</v>
      </c>
      <c r="E274" s="15"/>
      <c r="F274" s="61"/>
      <c r="G274" s="15"/>
      <c r="H274" s="15"/>
      <c r="I274" s="15"/>
      <c r="J274" s="38"/>
      <c r="K274" s="61"/>
      <c r="L274" s="110"/>
      <c r="M274" s="111"/>
      <c r="N274" s="70"/>
      <c r="O274" s="69"/>
      <c r="P274" s="100"/>
      <c r="Q274" s="113"/>
      <c r="R274" s="160"/>
      <c r="S274" s="161"/>
      <c r="T274" s="112"/>
      <c r="U274" s="107"/>
    </row>
    <row r="275" spans="1:25" s="120" customFormat="1" ht="13.5" customHeight="1" x14ac:dyDescent="0.3">
      <c r="A275" s="41">
        <v>1</v>
      </c>
      <c r="B275" s="19"/>
      <c r="C275" s="1"/>
      <c r="D275" s="14" t="s">
        <v>179</v>
      </c>
      <c r="E275" s="15">
        <v>3179617</v>
      </c>
      <c r="F275" s="61">
        <v>3524335</v>
      </c>
      <c r="G275" s="15">
        <v>3497825</v>
      </c>
      <c r="H275" s="15">
        <f>800726+690129</f>
        <v>1490855</v>
      </c>
      <c r="I275" s="15">
        <f>901966+943001</f>
        <v>1844967</v>
      </c>
      <c r="J275" s="38">
        <f>614071+675535</f>
        <v>1289606</v>
      </c>
      <c r="K275" s="61">
        <f>735724+771796</f>
        <v>1507520</v>
      </c>
      <c r="L275" s="75">
        <v>376578</v>
      </c>
      <c r="M275" s="92">
        <v>210987</v>
      </c>
      <c r="N275" s="92">
        <v>271020</v>
      </c>
      <c r="O275" s="92">
        <v>5838</v>
      </c>
      <c r="P275" s="121">
        <v>880382</v>
      </c>
      <c r="Q275" s="121">
        <v>460689</v>
      </c>
      <c r="R275" s="114">
        <v>1200976</v>
      </c>
      <c r="S275" s="115">
        <v>823953</v>
      </c>
      <c r="T275" s="171">
        <v>1883557</v>
      </c>
      <c r="U275" s="172">
        <v>819405</v>
      </c>
    </row>
    <row r="276" spans="1:25" s="120" customFormat="1" ht="13.5" customHeight="1" x14ac:dyDescent="0.3">
      <c r="A276" s="41">
        <v>2</v>
      </c>
      <c r="B276" s="19"/>
      <c r="C276" s="1"/>
      <c r="D276" s="14" t="s">
        <v>180</v>
      </c>
      <c r="E276" s="15">
        <v>650412</v>
      </c>
      <c r="F276" s="61">
        <v>687916</v>
      </c>
      <c r="G276" s="15">
        <v>947393</v>
      </c>
      <c r="H276" s="15">
        <f>256398+236241</f>
        <v>492639</v>
      </c>
      <c r="I276" s="15">
        <f>194965+280078</f>
        <v>475043</v>
      </c>
      <c r="J276" s="38">
        <f>226532+248684</f>
        <v>475216</v>
      </c>
      <c r="K276" s="61">
        <f>211999+291508</f>
        <v>503507</v>
      </c>
      <c r="L276" s="75">
        <v>124766</v>
      </c>
      <c r="M276" s="92">
        <v>74240</v>
      </c>
      <c r="N276" s="92">
        <v>56860</v>
      </c>
      <c r="O276" s="92">
        <v>346</v>
      </c>
      <c r="P276" s="121">
        <v>138809</v>
      </c>
      <c r="Q276" s="121">
        <v>82321</v>
      </c>
      <c r="R276" s="114">
        <v>323076</v>
      </c>
      <c r="S276" s="115">
        <v>297831</v>
      </c>
      <c r="T276" s="171">
        <v>326169</v>
      </c>
      <c r="U276" s="172">
        <v>302807</v>
      </c>
    </row>
    <row r="277" spans="1:25" s="122" customFormat="1" x14ac:dyDescent="0.3">
      <c r="A277" s="41">
        <v>3</v>
      </c>
      <c r="B277" s="19"/>
      <c r="C277" s="1"/>
      <c r="D277" s="14" t="s">
        <v>181</v>
      </c>
      <c r="E277" s="15">
        <v>64088</v>
      </c>
      <c r="F277" s="61">
        <v>37896</v>
      </c>
      <c r="G277" s="15">
        <v>18149</v>
      </c>
      <c r="H277" s="25" t="s">
        <v>15</v>
      </c>
      <c r="I277" s="25" t="s">
        <v>15</v>
      </c>
      <c r="J277" s="88" t="s">
        <v>15</v>
      </c>
      <c r="K277" s="62" t="s">
        <v>15</v>
      </c>
      <c r="L277" s="71" t="s">
        <v>15</v>
      </c>
      <c r="M277" s="71" t="s">
        <v>15</v>
      </c>
      <c r="N277" s="71">
        <v>0</v>
      </c>
      <c r="O277" s="71">
        <v>0</v>
      </c>
      <c r="P277" s="121">
        <v>0</v>
      </c>
      <c r="Q277" s="121">
        <v>0</v>
      </c>
      <c r="R277" s="114">
        <v>0</v>
      </c>
      <c r="S277" s="115">
        <v>0</v>
      </c>
      <c r="T277" s="115">
        <v>0</v>
      </c>
      <c r="U277" s="115">
        <v>0</v>
      </c>
    </row>
    <row r="278" spans="1:25" s="120" customFormat="1" x14ac:dyDescent="0.3">
      <c r="A278" s="41">
        <v>4</v>
      </c>
      <c r="B278" s="12"/>
      <c r="C278" s="13"/>
      <c r="D278" s="14" t="s">
        <v>182</v>
      </c>
      <c r="E278" s="15">
        <v>523905</v>
      </c>
      <c r="F278" s="15">
        <v>570055</v>
      </c>
      <c r="G278" s="15">
        <v>468796</v>
      </c>
      <c r="H278" s="15">
        <f>316309+246881</f>
        <v>563190</v>
      </c>
      <c r="I278" s="15">
        <f>23960+28900</f>
        <v>52860</v>
      </c>
      <c r="J278" s="15">
        <f>331217+345750</f>
        <v>676967</v>
      </c>
      <c r="K278" s="15">
        <f>23029+26283</f>
        <v>49312</v>
      </c>
      <c r="L278" s="129">
        <v>337211</v>
      </c>
      <c r="M278" s="92">
        <v>9875</v>
      </c>
      <c r="N278" s="92">
        <v>0</v>
      </c>
      <c r="O278" s="92">
        <v>0</v>
      </c>
      <c r="P278" s="121">
        <v>357516</v>
      </c>
      <c r="Q278" s="121">
        <v>7359</v>
      </c>
      <c r="R278" s="114">
        <v>450505</v>
      </c>
      <c r="S278" s="115">
        <v>25598</v>
      </c>
      <c r="T278" s="171">
        <v>496333</v>
      </c>
      <c r="U278" s="172">
        <v>34831</v>
      </c>
    </row>
    <row r="279" spans="1:25" s="120" customFormat="1" x14ac:dyDescent="0.3">
      <c r="A279" s="41">
        <v>5</v>
      </c>
      <c r="B279" s="12"/>
      <c r="C279" s="13"/>
      <c r="D279" s="14" t="s">
        <v>183</v>
      </c>
      <c r="E279" s="15">
        <v>24852</v>
      </c>
      <c r="F279" s="15">
        <v>19787</v>
      </c>
      <c r="G279" s="15">
        <v>8991</v>
      </c>
      <c r="H279" s="15">
        <f>5577+3944</f>
        <v>9521</v>
      </c>
      <c r="I279" s="15">
        <f>696+747</f>
        <v>1443</v>
      </c>
      <c r="J279" s="15">
        <f>5855+1716</f>
        <v>7571</v>
      </c>
      <c r="K279" s="15">
        <f>517+526</f>
        <v>1043</v>
      </c>
      <c r="L279" s="129">
        <v>467</v>
      </c>
      <c r="M279" s="92">
        <v>95</v>
      </c>
      <c r="N279" s="92">
        <v>360730</v>
      </c>
      <c r="O279" s="92">
        <v>1143</v>
      </c>
      <c r="P279" s="121">
        <v>1731</v>
      </c>
      <c r="Q279" s="121">
        <v>130</v>
      </c>
      <c r="R279" s="114">
        <v>16061</v>
      </c>
      <c r="S279" s="115">
        <v>569</v>
      </c>
      <c r="T279" s="171">
        <v>18191</v>
      </c>
      <c r="U279" s="172">
        <v>3304</v>
      </c>
    </row>
    <row r="280" spans="1:25" s="120" customFormat="1" x14ac:dyDescent="0.3">
      <c r="A280" s="41">
        <v>6</v>
      </c>
      <c r="B280" s="12"/>
      <c r="C280" s="13"/>
      <c r="D280" s="14" t="s">
        <v>184</v>
      </c>
      <c r="E280" s="15">
        <v>97546</v>
      </c>
      <c r="F280" s="15">
        <v>93965</v>
      </c>
      <c r="G280" s="15">
        <v>93396</v>
      </c>
      <c r="H280" s="15">
        <f>20815+12821</f>
        <v>33636</v>
      </c>
      <c r="I280" s="15">
        <f>25776+31165</f>
        <v>56941</v>
      </c>
      <c r="J280" s="15">
        <f>10073+9732</f>
        <v>19805</v>
      </c>
      <c r="K280" s="15">
        <f>23706+28015</f>
        <v>51721</v>
      </c>
      <c r="L280" s="129">
        <v>2515</v>
      </c>
      <c r="M280" s="92">
        <v>6772</v>
      </c>
      <c r="N280" s="92">
        <v>0</v>
      </c>
      <c r="O280" s="92">
        <v>0</v>
      </c>
      <c r="P280" s="121">
        <v>4162</v>
      </c>
      <c r="Q280" s="121">
        <v>8753</v>
      </c>
      <c r="R280" s="114">
        <v>9923</v>
      </c>
      <c r="S280" s="115">
        <v>24380</v>
      </c>
      <c r="T280" s="171">
        <v>7502</v>
      </c>
      <c r="U280" s="172">
        <v>18866</v>
      </c>
    </row>
    <row r="281" spans="1:25" s="120" customFormat="1" x14ac:dyDescent="0.3">
      <c r="A281" s="41">
        <v>7</v>
      </c>
      <c r="B281" s="12"/>
      <c r="C281" s="13"/>
      <c r="D281" s="14" t="s">
        <v>185</v>
      </c>
      <c r="E281" s="15">
        <v>25559</v>
      </c>
      <c r="F281" s="15">
        <v>24045</v>
      </c>
      <c r="G281" s="15">
        <v>20356</v>
      </c>
      <c r="H281" s="15">
        <f>10444+11268</f>
        <v>21712</v>
      </c>
      <c r="I281" s="15">
        <f>439+429</f>
        <v>868</v>
      </c>
      <c r="J281" s="15">
        <f>10282+10185</f>
        <v>20467</v>
      </c>
      <c r="K281" s="15">
        <f>343+648</f>
        <v>991</v>
      </c>
      <c r="L281" s="129">
        <v>9007</v>
      </c>
      <c r="M281" s="92">
        <v>258</v>
      </c>
      <c r="N281" s="92">
        <v>7151</v>
      </c>
      <c r="O281" s="92">
        <v>79</v>
      </c>
      <c r="P281" s="121">
        <v>9354</v>
      </c>
      <c r="Q281" s="121">
        <v>1412</v>
      </c>
      <c r="R281" s="114">
        <v>11951</v>
      </c>
      <c r="S281" s="115">
        <v>1905</v>
      </c>
      <c r="T281" s="171">
        <v>16659</v>
      </c>
      <c r="U281" s="172">
        <v>1550</v>
      </c>
    </row>
    <row r="282" spans="1:25" x14ac:dyDescent="0.3">
      <c r="A282" s="41">
        <v>8</v>
      </c>
      <c r="B282" s="12"/>
      <c r="C282" s="13"/>
      <c r="D282" s="14" t="s">
        <v>186</v>
      </c>
      <c r="E282" s="23" t="s">
        <v>15</v>
      </c>
      <c r="F282" s="23" t="s">
        <v>15</v>
      </c>
      <c r="G282" s="25" t="s">
        <v>15</v>
      </c>
      <c r="H282" s="25" t="s">
        <v>15</v>
      </c>
      <c r="I282" s="25" t="s">
        <v>15</v>
      </c>
      <c r="J282" s="25" t="s">
        <v>15</v>
      </c>
      <c r="K282" s="25" t="s">
        <v>15</v>
      </c>
      <c r="L282" s="109" t="s">
        <v>15</v>
      </c>
      <c r="M282" s="71" t="s">
        <v>15</v>
      </c>
      <c r="N282" s="71" t="s">
        <v>15</v>
      </c>
      <c r="O282" s="71" t="s">
        <v>15</v>
      </c>
      <c r="P282" s="71" t="s">
        <v>15</v>
      </c>
      <c r="Q282" s="71" t="s">
        <v>15</v>
      </c>
      <c r="R282" s="71" t="s">
        <v>15</v>
      </c>
      <c r="S282" s="71" t="s">
        <v>15</v>
      </c>
      <c r="T282" s="71" t="s">
        <v>15</v>
      </c>
      <c r="U282" s="71" t="s">
        <v>15</v>
      </c>
    </row>
    <row r="283" spans="1:25" x14ac:dyDescent="0.3">
      <c r="A283" s="41">
        <v>9</v>
      </c>
      <c r="B283" s="12"/>
      <c r="C283" s="13"/>
      <c r="D283" s="14" t="s">
        <v>187</v>
      </c>
      <c r="E283" s="23" t="s">
        <v>15</v>
      </c>
      <c r="F283" s="23" t="s">
        <v>15</v>
      </c>
      <c r="G283" s="25" t="s">
        <v>15</v>
      </c>
      <c r="H283" s="25" t="s">
        <v>15</v>
      </c>
      <c r="I283" s="25" t="s">
        <v>15</v>
      </c>
      <c r="J283" s="25" t="s">
        <v>15</v>
      </c>
      <c r="K283" s="25" t="s">
        <v>15</v>
      </c>
      <c r="L283" s="109" t="s">
        <v>15</v>
      </c>
      <c r="M283" s="71" t="s">
        <v>15</v>
      </c>
      <c r="N283" s="71">
        <v>0</v>
      </c>
      <c r="O283" s="71">
        <v>0</v>
      </c>
      <c r="P283" s="71" t="s">
        <v>15</v>
      </c>
      <c r="Q283" s="71" t="s">
        <v>15</v>
      </c>
      <c r="R283" s="71" t="s">
        <v>15</v>
      </c>
      <c r="S283" s="71" t="s">
        <v>15</v>
      </c>
      <c r="T283" s="71" t="s">
        <v>15</v>
      </c>
      <c r="U283" s="71" t="s">
        <v>15</v>
      </c>
    </row>
    <row r="284" spans="1:25" s="120" customFormat="1" x14ac:dyDescent="0.3">
      <c r="A284" s="41">
        <v>10</v>
      </c>
      <c r="B284" s="12"/>
      <c r="C284" s="13"/>
      <c r="D284" s="14" t="s">
        <v>188</v>
      </c>
      <c r="E284" s="15">
        <v>4903</v>
      </c>
      <c r="F284" s="15">
        <v>5428</v>
      </c>
      <c r="G284" s="15">
        <v>4105</v>
      </c>
      <c r="H284" s="15">
        <f>2767+1476</f>
        <v>4243</v>
      </c>
      <c r="I284" s="15">
        <f>581+805</f>
        <v>1386</v>
      </c>
      <c r="J284" s="15">
        <f>2549+2407</f>
        <v>4956</v>
      </c>
      <c r="K284" s="15">
        <f>450+674</f>
        <v>1124</v>
      </c>
      <c r="L284" s="129">
        <v>363</v>
      </c>
      <c r="M284" s="92">
        <v>192</v>
      </c>
      <c r="N284" s="92">
        <v>137</v>
      </c>
      <c r="O284" s="92">
        <v>19</v>
      </c>
      <c r="P284" s="121">
        <v>1143</v>
      </c>
      <c r="Q284" s="121">
        <v>383</v>
      </c>
      <c r="R284" s="114">
        <v>358</v>
      </c>
      <c r="S284" s="115">
        <v>416</v>
      </c>
      <c r="T284" s="71" t="s">
        <v>15</v>
      </c>
      <c r="U284" s="71" t="s">
        <v>15</v>
      </c>
    </row>
    <row r="285" spans="1:25" s="120" customFormat="1" x14ac:dyDescent="0.3">
      <c r="A285" s="41">
        <v>11</v>
      </c>
      <c r="B285" s="12"/>
      <c r="C285" s="13"/>
      <c r="D285" s="14" t="s">
        <v>189</v>
      </c>
      <c r="E285" s="15">
        <v>164366</v>
      </c>
      <c r="F285" s="15">
        <v>213009</v>
      </c>
      <c r="G285" s="15">
        <v>250153</v>
      </c>
      <c r="H285" s="15">
        <f>23381+25999</f>
        <v>49380</v>
      </c>
      <c r="I285" s="15">
        <f>263414+146213</f>
        <v>409627</v>
      </c>
      <c r="J285" s="15">
        <f>32511+35196</f>
        <v>67707</v>
      </c>
      <c r="K285" s="15">
        <f>90307+156429</f>
        <v>246736</v>
      </c>
      <c r="L285" s="129">
        <v>42367</v>
      </c>
      <c r="M285" s="92">
        <v>46639</v>
      </c>
      <c r="N285" s="92">
        <v>51092</v>
      </c>
      <c r="O285" s="92">
        <v>1704</v>
      </c>
      <c r="P285" s="121">
        <v>73242</v>
      </c>
      <c r="Q285" s="121">
        <v>110419</v>
      </c>
      <c r="R285" s="114">
        <v>146475</v>
      </c>
      <c r="S285" s="115">
        <v>256527</v>
      </c>
      <c r="T285" s="171">
        <v>130359</v>
      </c>
      <c r="U285" s="172">
        <v>301405</v>
      </c>
    </row>
    <row r="286" spans="1:25" s="120" customFormat="1" x14ac:dyDescent="0.3">
      <c r="A286" s="41">
        <v>12</v>
      </c>
      <c r="B286" s="12"/>
      <c r="C286" s="13"/>
      <c r="D286" s="14" t="s">
        <v>190</v>
      </c>
      <c r="E286" s="15">
        <v>7036</v>
      </c>
      <c r="F286" s="15">
        <v>6733</v>
      </c>
      <c r="G286" s="15">
        <v>5971</v>
      </c>
      <c r="H286" s="15">
        <f>1165+1119</f>
        <v>2284</v>
      </c>
      <c r="I286" s="15">
        <f>961+975</f>
        <v>1936</v>
      </c>
      <c r="J286" s="15">
        <f>718+895</f>
        <v>1613</v>
      </c>
      <c r="K286" s="15">
        <f>744+838</f>
        <v>1582</v>
      </c>
      <c r="L286" s="129">
        <v>349</v>
      </c>
      <c r="M286" s="92">
        <v>384</v>
      </c>
      <c r="N286" s="92">
        <v>199</v>
      </c>
      <c r="O286" s="92">
        <v>48</v>
      </c>
      <c r="P286" s="121">
        <v>608</v>
      </c>
      <c r="Q286" s="121">
        <v>443</v>
      </c>
      <c r="R286" s="114">
        <v>2394</v>
      </c>
      <c r="S286" s="115">
        <v>3889</v>
      </c>
      <c r="T286" s="171">
        <v>1772</v>
      </c>
      <c r="U286" s="172">
        <v>5844</v>
      </c>
    </row>
    <row r="287" spans="1:25" s="120" customFormat="1" ht="15" thickBot="1" x14ac:dyDescent="0.35">
      <c r="A287" s="41">
        <v>13</v>
      </c>
      <c r="B287" s="12"/>
      <c r="C287" s="13"/>
      <c r="D287" s="14" t="s">
        <v>191</v>
      </c>
      <c r="E287" s="15">
        <v>22295</v>
      </c>
      <c r="F287" s="23">
        <v>20809</v>
      </c>
      <c r="G287" s="23">
        <v>18688</v>
      </c>
      <c r="H287" s="25" t="s">
        <v>15</v>
      </c>
      <c r="I287" s="23">
        <f>7310+13904</f>
        <v>21214</v>
      </c>
      <c r="J287" s="25" t="s">
        <v>15</v>
      </c>
      <c r="K287" s="23">
        <f>13014+26966</f>
        <v>39980</v>
      </c>
      <c r="L287" s="109" t="s">
        <v>15</v>
      </c>
      <c r="M287" s="92">
        <v>3154</v>
      </c>
      <c r="N287" s="71">
        <v>0</v>
      </c>
      <c r="O287" s="92">
        <v>0</v>
      </c>
      <c r="P287" s="121">
        <v>770</v>
      </c>
      <c r="Q287" s="121">
        <v>6712</v>
      </c>
      <c r="R287" s="114">
        <v>0</v>
      </c>
      <c r="S287" s="115">
        <v>25403</v>
      </c>
      <c r="T287" s="171">
        <v>1482</v>
      </c>
      <c r="U287" s="172">
        <v>21101</v>
      </c>
    </row>
    <row r="288" spans="1:25" s="120" customFormat="1" ht="15.6" thickTop="1" thickBot="1" x14ac:dyDescent="0.35">
      <c r="A288" s="41">
        <v>14</v>
      </c>
      <c r="B288" s="13"/>
      <c r="C288" s="13"/>
      <c r="D288" s="14" t="s">
        <v>262</v>
      </c>
      <c r="E288" s="102">
        <v>0</v>
      </c>
      <c r="F288" s="102">
        <v>0</v>
      </c>
      <c r="G288" s="102">
        <v>0</v>
      </c>
      <c r="H288" s="102">
        <v>0</v>
      </c>
      <c r="I288" s="102">
        <v>0</v>
      </c>
      <c r="J288" s="102">
        <v>0</v>
      </c>
      <c r="K288" s="102">
        <v>0</v>
      </c>
      <c r="L288" s="102">
        <v>0</v>
      </c>
      <c r="M288" s="102">
        <v>0</v>
      </c>
      <c r="N288" s="102">
        <v>0</v>
      </c>
      <c r="O288" s="102">
        <v>0</v>
      </c>
      <c r="P288" s="102">
        <v>0</v>
      </c>
      <c r="Q288" s="102">
        <v>0</v>
      </c>
      <c r="R288" s="114">
        <v>0</v>
      </c>
      <c r="S288" s="115">
        <v>431</v>
      </c>
      <c r="T288" s="173">
        <v>0</v>
      </c>
      <c r="U288" s="158">
        <v>2</v>
      </c>
      <c r="Y288" s="177"/>
    </row>
    <row r="289" spans="1:21" s="120" customFormat="1" ht="15" thickTop="1" x14ac:dyDescent="0.3">
      <c r="A289" s="178"/>
      <c r="B289" s="13"/>
      <c r="C289" s="13"/>
      <c r="D289" s="14"/>
      <c r="E289" s="15"/>
      <c r="F289" s="118"/>
      <c r="G289" s="23"/>
      <c r="H289" s="25"/>
      <c r="I289" s="23"/>
      <c r="J289" s="88"/>
      <c r="K289" s="63"/>
      <c r="L289" s="119"/>
      <c r="M289" s="92"/>
      <c r="N289" s="102"/>
      <c r="O289" s="92"/>
      <c r="P289" s="121"/>
      <c r="Q289" s="121"/>
      <c r="R289" s="115"/>
      <c r="S289" s="115"/>
      <c r="T289" s="168"/>
      <c r="U289" s="165"/>
    </row>
    <row r="290" spans="1:21" x14ac:dyDescent="0.3">
      <c r="A290" s="45"/>
      <c r="B290" s="27"/>
      <c r="C290" s="28" t="s">
        <v>25</v>
      </c>
      <c r="D290" s="31"/>
      <c r="E290" s="29">
        <f>SUM(E275:E288)</f>
        <v>4764579</v>
      </c>
      <c r="F290" s="162">
        <f>SUM(F275:F288)</f>
        <v>5203978</v>
      </c>
      <c r="G290" s="29">
        <f t="shared" ref="G290:Q290" si="24">SUM(G275:G287)</f>
        <v>5333823</v>
      </c>
      <c r="H290" s="29">
        <f t="shared" si="24"/>
        <v>2667460</v>
      </c>
      <c r="I290" s="29">
        <f t="shared" si="24"/>
        <v>2866285</v>
      </c>
      <c r="J290" s="87">
        <f t="shared" si="24"/>
        <v>2563908</v>
      </c>
      <c r="K290" s="60">
        <f t="shared" si="24"/>
        <v>2403516</v>
      </c>
      <c r="L290" s="60">
        <f t="shared" si="24"/>
        <v>893623</v>
      </c>
      <c r="M290" s="29">
        <f t="shared" si="24"/>
        <v>352596</v>
      </c>
      <c r="N290" s="60">
        <f t="shared" si="24"/>
        <v>747189</v>
      </c>
      <c r="O290" s="29">
        <f t="shared" si="24"/>
        <v>9177</v>
      </c>
      <c r="P290" s="101">
        <f t="shared" si="24"/>
        <v>1467717</v>
      </c>
      <c r="Q290" s="101">
        <f t="shared" si="24"/>
        <v>678621</v>
      </c>
      <c r="R290" s="163">
        <f>SUM(R275:R289)</f>
        <v>2161719</v>
      </c>
      <c r="S290" s="164">
        <f>SUM(S275:S289)</f>
        <v>1460902</v>
      </c>
      <c r="T290" s="175">
        <f>SUM(T275:T288)</f>
        <v>2882024</v>
      </c>
      <c r="U290" s="176">
        <f>SUM(U275:U288)</f>
        <v>1509115</v>
      </c>
    </row>
    <row r="291" spans="1:21" x14ac:dyDescent="0.3">
      <c r="B291" s="39"/>
      <c r="C291" s="40"/>
      <c r="D291" s="46" t="s">
        <v>192</v>
      </c>
      <c r="E291" s="47">
        <f>E290+E273+E229+E148+E115+E106+E98+E69+E58</f>
        <v>11467771</v>
      </c>
      <c r="F291" s="65">
        <f>F290+F273+F229+F148+F115+F106+F98+F69+F58</f>
        <v>14574860</v>
      </c>
      <c r="G291" s="47">
        <f>G290+G273+G229+G148+G115+G106+G98+G69+G58</f>
        <v>17853361</v>
      </c>
      <c r="H291" s="47">
        <f t="shared" ref="H291:O291" si="25">(H58+H69+H98+H106+H115+H148+H229+H273+H290)</f>
        <v>8836706</v>
      </c>
      <c r="I291" s="47">
        <f t="shared" si="25"/>
        <v>11825464</v>
      </c>
      <c r="J291" s="91">
        <f t="shared" si="25"/>
        <v>7045775</v>
      </c>
      <c r="K291" s="65">
        <f t="shared" si="25"/>
        <v>13235139</v>
      </c>
      <c r="L291" s="65">
        <f t="shared" si="25"/>
        <v>2423770</v>
      </c>
      <c r="M291" s="47">
        <f t="shared" si="25"/>
        <v>1529858</v>
      </c>
      <c r="N291" s="65">
        <f t="shared" si="25"/>
        <v>2493739</v>
      </c>
      <c r="O291" s="47">
        <f t="shared" si="25"/>
        <v>100620</v>
      </c>
      <c r="P291" s="101">
        <f t="shared" ref="P291:U291" si="26">SUM(P58+P69+P98+P106+P115+P148+P229+P273+P290)</f>
        <v>6873824</v>
      </c>
      <c r="Q291" s="106">
        <f t="shared" si="26"/>
        <v>3427920</v>
      </c>
      <c r="R291" s="155">
        <f t="shared" si="26"/>
        <v>10312520</v>
      </c>
      <c r="S291" s="155">
        <f t="shared" si="26"/>
        <v>8420045</v>
      </c>
      <c r="T291" s="155">
        <f t="shared" si="26"/>
        <v>11605188</v>
      </c>
      <c r="U291" s="155">
        <f t="shared" si="26"/>
        <v>9736523</v>
      </c>
    </row>
    <row r="292" spans="1:21" x14ac:dyDescent="0.3">
      <c r="A292" s="49"/>
      <c r="E292" s="48"/>
    </row>
    <row r="293" spans="1:21" x14ac:dyDescent="0.3">
      <c r="A293" s="49" t="s">
        <v>193</v>
      </c>
      <c r="C293" s="50" t="s">
        <v>194</v>
      </c>
      <c r="D293" s="49" t="s">
        <v>195</v>
      </c>
      <c r="E293" s="33"/>
      <c r="F293" s="33"/>
      <c r="G293" s="33"/>
      <c r="H293" s="33"/>
      <c r="I293" s="33"/>
    </row>
    <row r="294" spans="1:21" x14ac:dyDescent="0.3">
      <c r="A294" t="s">
        <v>196</v>
      </c>
      <c r="C294" s="50" t="s">
        <v>194</v>
      </c>
      <c r="D294" t="s">
        <v>197</v>
      </c>
      <c r="E294" s="51"/>
      <c r="F294" s="51"/>
      <c r="G294" s="52"/>
      <c r="H294" s="52"/>
      <c r="I294" s="52"/>
    </row>
    <row r="295" spans="1:21" ht="25.5" customHeight="1" x14ac:dyDescent="0.3"/>
  </sheetData>
  <mergeCells count="12">
    <mergeCell ref="T6:U7"/>
    <mergeCell ref="R6:S7"/>
    <mergeCell ref="A6:A7"/>
    <mergeCell ref="D6:D7"/>
    <mergeCell ref="E6:E7"/>
    <mergeCell ref="F6:F7"/>
    <mergeCell ref="G6:G7"/>
    <mergeCell ref="P6:Q7"/>
    <mergeCell ref="N6:O7"/>
    <mergeCell ref="L6:M7"/>
    <mergeCell ref="J6:K7"/>
    <mergeCell ref="H6:I7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Dany Maruf</cp:lastModifiedBy>
  <cp:lastPrinted>2022-11-09T04:24:18Z</cp:lastPrinted>
  <dcterms:created xsi:type="dcterms:W3CDTF">2019-12-17T23:43:34Z</dcterms:created>
  <dcterms:modified xsi:type="dcterms:W3CDTF">2025-07-04T12:22:07Z</dcterms:modified>
</cp:coreProperties>
</file>