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57f0455a2bc8494/Documenten/Investing/Models/"/>
    </mc:Choice>
  </mc:AlternateContent>
  <xr:revisionPtr revIDLastSave="318" documentId="8_{C3953DB9-6DE6-467C-87BD-0705897ABE4E}" xr6:coauthVersionLast="47" xr6:coauthVersionMax="47" xr10:uidLastSave="{A9112C09-2968-4CAA-9B99-8E46AD4C78B3}"/>
  <bookViews>
    <workbookView xWindow="11160" yWindow="744" windowWidth="30216" windowHeight="12120" activeTab="1" xr2:uid="{F618A5BB-0A8B-4542-9BE9-E604DC5354A7}"/>
  </bookViews>
  <sheets>
    <sheet name="Overview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3" i="2" l="1"/>
  <c r="C32" i="2"/>
  <c r="R13" i="2" l="1"/>
  <c r="S13" i="2" s="1"/>
  <c r="T13" i="2" s="1"/>
  <c r="U13" i="2" s="1"/>
  <c r="V13" i="2" s="1"/>
  <c r="W13" i="2" s="1"/>
  <c r="X13" i="2" s="1"/>
  <c r="Y13" i="2" s="1"/>
  <c r="Z13" i="2" s="1"/>
  <c r="AA13" i="2" s="1"/>
  <c r="AB13" i="2" s="1"/>
  <c r="AC13" i="2" s="1"/>
  <c r="AD13" i="2" s="1"/>
  <c r="AE13" i="2" s="1"/>
  <c r="AF13" i="2" s="1"/>
  <c r="AG13" i="2" s="1"/>
  <c r="AH13" i="2" s="1"/>
  <c r="AI13" i="2" s="1"/>
  <c r="AJ13" i="2" s="1"/>
  <c r="AK13" i="2" s="1"/>
  <c r="AL13" i="2" s="1"/>
  <c r="AM13" i="2" s="1"/>
  <c r="AN13" i="2" s="1"/>
  <c r="AO13" i="2" s="1"/>
  <c r="AP13" i="2" s="1"/>
  <c r="AQ13" i="2" s="1"/>
  <c r="AR13" i="2" s="1"/>
  <c r="AS13" i="2" s="1"/>
  <c r="AT13" i="2" s="1"/>
  <c r="AU13" i="2" s="1"/>
  <c r="AV13" i="2" s="1"/>
  <c r="AW13" i="2" s="1"/>
  <c r="AX13" i="2" s="1"/>
  <c r="AY13" i="2" s="1"/>
  <c r="AZ13" i="2" s="1"/>
  <c r="BA13" i="2" s="1"/>
  <c r="BB13" i="2" s="1"/>
  <c r="BC13" i="2" s="1"/>
  <c r="BD13" i="2" s="1"/>
  <c r="BE13" i="2" s="1"/>
  <c r="BF13" i="2" s="1"/>
  <c r="BG13" i="2" s="1"/>
  <c r="BH13" i="2" s="1"/>
  <c r="BI13" i="2" s="1"/>
  <c r="BJ13" i="2" s="1"/>
  <c r="BK13" i="2" s="1"/>
  <c r="BL13" i="2" s="1"/>
  <c r="BM13" i="2" s="1"/>
  <c r="BN13" i="2" s="1"/>
  <c r="BO13" i="2" s="1"/>
  <c r="BP13" i="2" s="1"/>
  <c r="BQ13" i="2" s="1"/>
  <c r="BR13" i="2" s="1"/>
  <c r="BS13" i="2" s="1"/>
  <c r="BT13" i="2" s="1"/>
  <c r="BU13" i="2" s="1"/>
  <c r="C26" i="2"/>
  <c r="C27" i="2" s="1"/>
  <c r="Q23" i="2"/>
  <c r="P23" i="2"/>
  <c r="O23" i="2"/>
  <c r="N23" i="2"/>
  <c r="M23" i="2"/>
  <c r="L23" i="2"/>
  <c r="Q22" i="2"/>
  <c r="P22" i="2"/>
  <c r="O22" i="2"/>
  <c r="N22" i="2"/>
  <c r="M22" i="2"/>
  <c r="L22" i="2"/>
  <c r="Q21" i="2"/>
  <c r="P21" i="2"/>
  <c r="O21" i="2"/>
  <c r="N21" i="2"/>
  <c r="M21" i="2"/>
  <c r="L21" i="2"/>
  <c r="Q20" i="2"/>
  <c r="P20" i="2"/>
  <c r="O20" i="2"/>
  <c r="N20" i="2"/>
  <c r="M20" i="2"/>
  <c r="L20" i="2"/>
  <c r="I23" i="2"/>
  <c r="H23" i="2"/>
  <c r="G23" i="2"/>
  <c r="F23" i="2"/>
  <c r="E23" i="2"/>
  <c r="D23" i="2"/>
  <c r="J22" i="2"/>
  <c r="I22" i="2"/>
  <c r="H22" i="2"/>
  <c r="G22" i="2"/>
  <c r="F22" i="2"/>
  <c r="E22" i="2"/>
  <c r="D22" i="2"/>
  <c r="J21" i="2"/>
  <c r="I21" i="2"/>
  <c r="H21" i="2"/>
  <c r="G21" i="2"/>
  <c r="F21" i="2"/>
  <c r="E21" i="2"/>
  <c r="D21" i="2"/>
  <c r="J20" i="2"/>
  <c r="I20" i="2"/>
  <c r="H20" i="2"/>
  <c r="G20" i="2"/>
  <c r="F20" i="2"/>
  <c r="E20" i="2"/>
  <c r="D20" i="2"/>
  <c r="C23" i="2"/>
  <c r="C22" i="2"/>
  <c r="C21" i="2"/>
  <c r="C20" i="2"/>
  <c r="Q18" i="2"/>
  <c r="P18" i="2"/>
  <c r="O18" i="2"/>
  <c r="N18" i="2"/>
  <c r="M18" i="2"/>
  <c r="J18" i="2"/>
  <c r="I18" i="2"/>
  <c r="H18" i="2"/>
  <c r="G18" i="2"/>
  <c r="F18" i="2"/>
  <c r="E18" i="2"/>
  <c r="D18" i="2"/>
  <c r="E15" i="2"/>
  <c r="D15" i="2"/>
  <c r="C15" i="2"/>
  <c r="F15" i="2"/>
  <c r="F16" i="2" s="1"/>
  <c r="J15" i="2"/>
  <c r="L15" i="2"/>
  <c r="M15" i="2"/>
  <c r="O15" i="2"/>
  <c r="O16" i="2" s="1"/>
  <c r="P15" i="2"/>
  <c r="P16" i="2" s="1"/>
  <c r="J16" i="2"/>
  <c r="F13" i="2"/>
  <c r="F12" i="2"/>
  <c r="F11" i="2"/>
  <c r="F10" i="2"/>
  <c r="F9" i="2"/>
  <c r="F8" i="2"/>
  <c r="F7" i="2"/>
  <c r="F6" i="2"/>
  <c r="F5" i="2"/>
  <c r="F4" i="2"/>
  <c r="F3" i="2"/>
  <c r="L5" i="2"/>
  <c r="L9" i="2" s="1"/>
  <c r="L11" i="2" s="1"/>
  <c r="L13" i="2" s="1"/>
  <c r="L16" i="2" s="1"/>
  <c r="N8" i="2"/>
  <c r="M8" i="2"/>
  <c r="M5" i="2"/>
  <c r="M9" i="2" s="1"/>
  <c r="M11" i="2" s="1"/>
  <c r="M13" i="2" s="1"/>
  <c r="M16" i="2" s="1"/>
  <c r="N15" i="2"/>
  <c r="N5" i="2"/>
  <c r="N9" i="2" s="1"/>
  <c r="N11" i="2" s="1"/>
  <c r="N13" i="2" s="1"/>
  <c r="Q15" i="2"/>
  <c r="Q16" i="2"/>
  <c r="O8" i="2"/>
  <c r="O5" i="2"/>
  <c r="O9" i="2" s="1"/>
  <c r="O11" i="2" s="1"/>
  <c r="O13" i="2" s="1"/>
  <c r="P5" i="2"/>
  <c r="P9" i="2" s="1"/>
  <c r="P11" i="2" s="1"/>
  <c r="P13" i="2" s="1"/>
  <c r="J13" i="2"/>
  <c r="J12" i="2"/>
  <c r="J11" i="2"/>
  <c r="J10" i="2"/>
  <c r="J9" i="2"/>
  <c r="J8" i="2"/>
  <c r="J7" i="2"/>
  <c r="J6" i="2"/>
  <c r="J5" i="2"/>
  <c r="J4" i="2"/>
  <c r="J3" i="2"/>
  <c r="Q5" i="2"/>
  <c r="Q9" i="2" s="1"/>
  <c r="Q11" i="2" s="1"/>
  <c r="Q13" i="2" s="1"/>
  <c r="AA2" i="2"/>
  <c r="Z2" i="2"/>
  <c r="Y2" i="2"/>
  <c r="X2" i="2"/>
  <c r="W2" i="2"/>
  <c r="N2" i="2"/>
  <c r="O2" i="2" s="1"/>
  <c r="P2" i="2" s="1"/>
  <c r="Q2" i="2" s="1"/>
  <c r="R2" i="2" s="1"/>
  <c r="S2" i="2" s="1"/>
  <c r="T2" i="2" s="1"/>
  <c r="U2" i="2" s="1"/>
  <c r="V2" i="2" s="1"/>
  <c r="M2" i="2"/>
  <c r="G15" i="2"/>
  <c r="C5" i="2"/>
  <c r="C9" i="2" s="1"/>
  <c r="C11" i="2" s="1"/>
  <c r="C13" i="2" s="1"/>
  <c r="G5" i="2"/>
  <c r="G9" i="2" s="1"/>
  <c r="G11" i="2" s="1"/>
  <c r="G13" i="2" s="1"/>
  <c r="G16" i="2" s="1"/>
  <c r="H15" i="2"/>
  <c r="D5" i="2"/>
  <c r="D9" i="2" s="1"/>
  <c r="D11" i="2" s="1"/>
  <c r="D13" i="2" s="1"/>
  <c r="D16" i="2" s="1"/>
  <c r="I5" i="2"/>
  <c r="I9" i="2" s="1"/>
  <c r="I11" i="2" s="1"/>
  <c r="I13" i="2" s="1"/>
  <c r="I16" i="2" s="1"/>
  <c r="E5" i="2"/>
  <c r="E9" i="2" s="1"/>
  <c r="E11" i="2" s="1"/>
  <c r="E13" i="2" s="1"/>
  <c r="E16" i="2" s="1"/>
  <c r="I15" i="2"/>
  <c r="H5" i="2"/>
  <c r="H9" i="2" s="1"/>
  <c r="H11" i="2" s="1"/>
  <c r="H13" i="2" s="1"/>
  <c r="H16" i="2" s="1"/>
  <c r="I4" i="1"/>
  <c r="I5" i="1"/>
  <c r="I8" i="1" s="1"/>
  <c r="C30" i="2" l="1"/>
  <c r="C31" i="2" s="1"/>
  <c r="C16" i="2"/>
  <c r="N16" i="2"/>
</calcChain>
</file>

<file path=xl/sharedStrings.xml><?xml version="1.0" encoding="utf-8"?>
<sst xmlns="http://schemas.openxmlformats.org/spreadsheetml/2006/main" count="41" uniqueCount="37">
  <si>
    <t>Price</t>
  </si>
  <si>
    <t>Shares</t>
  </si>
  <si>
    <t>MC</t>
  </si>
  <si>
    <t>Net cash</t>
  </si>
  <si>
    <t>Debt</t>
  </si>
  <si>
    <t>EV</t>
  </si>
  <si>
    <t>Income Statement</t>
  </si>
  <si>
    <t>Revenues</t>
  </si>
  <si>
    <t>COGS</t>
  </si>
  <si>
    <t>Gross profit</t>
  </si>
  <si>
    <t>S&amp;M</t>
  </si>
  <si>
    <t>R&amp;D</t>
  </si>
  <si>
    <t>SG&amp;A</t>
  </si>
  <si>
    <t>Operating income</t>
  </si>
  <si>
    <t>Other income</t>
  </si>
  <si>
    <t>Pre-tax income</t>
  </si>
  <si>
    <t>Taxes</t>
  </si>
  <si>
    <t>Net income</t>
  </si>
  <si>
    <t>EPS</t>
  </si>
  <si>
    <t>Revenue Y/Y</t>
  </si>
  <si>
    <t>Gross margin</t>
  </si>
  <si>
    <t>Operating margin</t>
  </si>
  <si>
    <t>Net margin</t>
  </si>
  <si>
    <t>Tax rate</t>
  </si>
  <si>
    <t>Q120</t>
  </si>
  <si>
    <t>Q220</t>
  </si>
  <si>
    <t>Q320</t>
  </si>
  <si>
    <t>Q420</t>
  </si>
  <si>
    <t>Q121</t>
  </si>
  <si>
    <t>Q221</t>
  </si>
  <si>
    <t>Q321</t>
  </si>
  <si>
    <t>Q421</t>
  </si>
  <si>
    <t>Growth rate</t>
  </si>
  <si>
    <t>Discount rate</t>
  </si>
  <si>
    <t>NPV</t>
  </si>
  <si>
    <t>Value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</si>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</sst>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(* #,##0_);_(* \(#,##0\);_(* &quot;-&quot;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3" fontId="0" fillId="0" borderId="0" xfId="0" applyNumberFormat="1"/>
    <xf numFmtId="41" fontId="0" fillId="0" borderId="0" xfId="0" applyNumberFormat="1"/>
    <xf numFmtId="4" fontId="0" fillId="0" borderId="0" xfId="0" applyNumberFormat="1"/>
    <xf numFmtId="9" fontId="0" fillId="0" borderId="0" xfId="1" applyFont="1"/>
    <xf numFmtId="3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22860</xdr:colOff>
      <xdr:row>0</xdr:row>
      <xdr:rowOff>53340</xdr:rowOff>
    </xdr:from>
    <xdr:to>
      <xdr:col>17</xdr:col>
      <xdr:colOff>22860</xdr:colOff>
      <xdr:row>24</xdr:row>
      <xdr:rowOff>106680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20321BA3-A530-47E4-8645-05ED05AF3D9E}"/>
            </a:ext>
          </a:extLst>
        </xdr:cNvPr>
        <xdr:cNvCxnSpPr/>
      </xdr:nvCxnSpPr>
      <xdr:spPr>
        <a:xfrm>
          <a:off x="10881360" y="53340"/>
          <a:ext cx="0" cy="444246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30480</xdr:colOff>
      <xdr:row>0</xdr:row>
      <xdr:rowOff>0</xdr:rowOff>
    </xdr:from>
    <xdr:to>
      <xdr:col>22</xdr:col>
      <xdr:colOff>30480</xdr:colOff>
      <xdr:row>24</xdr:row>
      <xdr:rowOff>53340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2C428C79-1317-4577-A4B5-165B80A44E70}"/>
            </a:ext>
          </a:extLst>
        </xdr:cNvPr>
        <xdr:cNvCxnSpPr/>
      </xdr:nvCxnSpPr>
      <xdr:spPr>
        <a:xfrm>
          <a:off x="13952220" y="0"/>
          <a:ext cx="0" cy="444246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22860</xdr:colOff>
      <xdr:row>0</xdr:row>
      <xdr:rowOff>91440</xdr:rowOff>
    </xdr:from>
    <xdr:to>
      <xdr:col>27</xdr:col>
      <xdr:colOff>22860</xdr:colOff>
      <xdr:row>24</xdr:row>
      <xdr:rowOff>144780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37D1B793-E002-46C5-8AF4-107D0214E94C}"/>
            </a:ext>
          </a:extLst>
        </xdr:cNvPr>
        <xdr:cNvCxnSpPr/>
      </xdr:nvCxnSpPr>
      <xdr:spPr>
        <a:xfrm>
          <a:off x="16992600" y="91440"/>
          <a:ext cx="0" cy="444246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DB8AF6-6774-4F50-815C-1D136036438B}">
  <dimension ref="H3:I8"/>
  <sheetViews>
    <sheetView workbookViewId="0">
      <selection activeCell="K12" sqref="K12"/>
    </sheetView>
  </sheetViews>
  <sheetFormatPr defaultRowHeight="14.4" x14ac:dyDescent="0.3"/>
  <sheetData>
    <row r="3" spans="8:9" x14ac:dyDescent="0.3">
      <c r="H3" t="s">
        <v>0</v>
      </c>
      <c r="I3" s="1">
        <v>2722.51</v>
      </c>
    </row>
    <row r="4" spans="8:9" x14ac:dyDescent="0.3">
      <c r="H4" t="s">
        <v>1</v>
      </c>
      <c r="I4" s="1">
        <f>300.809676+45.21654+317.737778</f>
        <v>663.76399400000003</v>
      </c>
    </row>
    <row r="5" spans="8:9" x14ac:dyDescent="0.3">
      <c r="H5" t="s">
        <v>2</v>
      </c>
      <c r="I5" s="1">
        <f>+I3*I4</f>
        <v>1807104.1113049402</v>
      </c>
    </row>
    <row r="6" spans="8:9" x14ac:dyDescent="0.3">
      <c r="H6" t="s">
        <v>3</v>
      </c>
      <c r="I6" s="1">
        <v>140000</v>
      </c>
    </row>
    <row r="7" spans="8:9" x14ac:dyDescent="0.3">
      <c r="H7" t="s">
        <v>4</v>
      </c>
      <c r="I7" s="1">
        <v>2800</v>
      </c>
    </row>
    <row r="8" spans="8:9" x14ac:dyDescent="0.3">
      <c r="H8" t="s">
        <v>5</v>
      </c>
      <c r="I8" s="1">
        <f>+I5-I6+I7</f>
        <v>1669904.1113049402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CBB6E-468B-4663-8256-54D95EF2727B}">
  <dimension ref="B2:BU32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J23" sqref="J23"/>
    </sheetView>
  </sheetViews>
  <sheetFormatPr defaultRowHeight="14.4" x14ac:dyDescent="0.3"/>
  <cols>
    <col min="2" max="2" width="16.109375" bestFit="1" customWidth="1"/>
    <col min="3" max="3" width="16.6640625" bestFit="1" customWidth="1"/>
    <col min="17" max="17" width="9.109375" bestFit="1" customWidth="1"/>
  </cols>
  <sheetData>
    <row r="2" spans="2:73" x14ac:dyDescent="0.3">
      <c r="B2" t="s">
        <v>6</v>
      </c>
      <c r="C2" t="s">
        <v>24</v>
      </c>
      <c r="D2" t="s">
        <v>25</v>
      </c>
      <c r="E2" t="s">
        <v>26</v>
      </c>
      <c r="F2" t="s">
        <v>27</v>
      </c>
      <c r="G2" t="s">
        <v>28</v>
      </c>
      <c r="H2" t="s">
        <v>29</v>
      </c>
      <c r="I2" t="s">
        <v>30</v>
      </c>
      <c r="J2" t="s">
        <v>31</v>
      </c>
      <c r="L2">
        <v>2016</v>
      </c>
      <c r="M2">
        <f>+L2+1</f>
        <v>2017</v>
      </c>
      <c r="N2">
        <f t="shared" ref="N2:V2" si="0">+M2+1</f>
        <v>2018</v>
      </c>
      <c r="O2">
        <f t="shared" si="0"/>
        <v>2019</v>
      </c>
      <c r="P2">
        <f t="shared" si="0"/>
        <v>2020</v>
      </c>
      <c r="Q2">
        <f t="shared" si="0"/>
        <v>2021</v>
      </c>
      <c r="R2">
        <f t="shared" si="0"/>
        <v>2022</v>
      </c>
      <c r="S2">
        <f t="shared" si="0"/>
        <v>2023</v>
      </c>
      <c r="T2">
        <f t="shared" si="0"/>
        <v>2024</v>
      </c>
      <c r="U2">
        <f t="shared" si="0"/>
        <v>2025</v>
      </c>
      <c r="V2">
        <f t="shared" si="0"/>
        <v>2026</v>
      </c>
      <c r="W2">
        <f>+V2+1</f>
        <v>2027</v>
      </c>
      <c r="X2">
        <f>+W2+1</f>
        <v>2028</v>
      </c>
      <c r="Y2">
        <f>+X2+1</f>
        <v>2029</v>
      </c>
      <c r="Z2">
        <f>+Y2+1</f>
        <v>2030</v>
      </c>
      <c r="AA2">
        <f>+Z2+1</f>
        <v>2031</v>
      </c>
    </row>
    <row r="3" spans="2:73" s="2" customFormat="1" x14ac:dyDescent="0.3">
      <c r="B3" s="2" t="s">
        <v>7</v>
      </c>
      <c r="C3" s="2">
        <v>41159</v>
      </c>
      <c r="D3" s="2">
        <v>38297</v>
      </c>
      <c r="E3" s="2">
        <v>46173</v>
      </c>
      <c r="F3" s="2">
        <f>+P3-SUM(C3:E3)</f>
        <v>56888</v>
      </c>
      <c r="G3" s="2">
        <v>55314</v>
      </c>
      <c r="H3" s="2">
        <v>61880</v>
      </c>
      <c r="I3" s="2">
        <v>65118</v>
      </c>
      <c r="J3" s="2">
        <f>+Q3-SUM(G3:I3)</f>
        <v>75325</v>
      </c>
      <c r="L3" s="2">
        <v>90272</v>
      </c>
      <c r="M3" s="2">
        <v>110855</v>
      </c>
      <c r="N3" s="2">
        <v>136819</v>
      </c>
      <c r="O3" s="2">
        <v>161857</v>
      </c>
      <c r="P3" s="2">
        <v>182517</v>
      </c>
      <c r="Q3" s="2">
        <v>257637</v>
      </c>
    </row>
    <row r="4" spans="2:73" s="2" customFormat="1" x14ac:dyDescent="0.3">
      <c r="B4" s="2" t="s">
        <v>8</v>
      </c>
      <c r="C4" s="2">
        <v>-18982</v>
      </c>
      <c r="D4" s="2">
        <v>-18553</v>
      </c>
      <c r="E4" s="2">
        <v>-21117</v>
      </c>
      <c r="F4" s="2">
        <f t="shared" ref="F4:F13" si="1">+P4-SUM(C4:E4)</f>
        <v>-26080</v>
      </c>
      <c r="G4" s="2">
        <v>-24103</v>
      </c>
      <c r="H4" s="2">
        <v>-26227</v>
      </c>
      <c r="I4" s="2">
        <v>-27621</v>
      </c>
      <c r="J4" s="2">
        <f t="shared" ref="J4:J13" si="2">+Q4-SUM(G4:I4)</f>
        <v>-32988</v>
      </c>
      <c r="L4" s="2">
        <v>-35138</v>
      </c>
      <c r="M4" s="2">
        <v>-45583</v>
      </c>
      <c r="N4" s="2">
        <v>-59549</v>
      </c>
      <c r="O4" s="2">
        <v>-71896</v>
      </c>
      <c r="P4" s="2">
        <v>-84732</v>
      </c>
      <c r="Q4" s="2">
        <v>-110939</v>
      </c>
    </row>
    <row r="5" spans="2:73" s="2" customFormat="1" x14ac:dyDescent="0.3">
      <c r="B5" s="2" t="s">
        <v>9</v>
      </c>
      <c r="C5" s="2">
        <f>+C3+C4</f>
        <v>22177</v>
      </c>
      <c r="D5" s="2">
        <f>+D3+D4</f>
        <v>19744</v>
      </c>
      <c r="E5" s="2">
        <f>+E3+E4</f>
        <v>25056</v>
      </c>
      <c r="F5" s="2">
        <f t="shared" si="1"/>
        <v>30808</v>
      </c>
      <c r="G5" s="2">
        <f>+G3+G4</f>
        <v>31211</v>
      </c>
      <c r="H5" s="2">
        <f>+H3+H4</f>
        <v>35653</v>
      </c>
      <c r="I5" s="2">
        <f>+I3+I4</f>
        <v>37497</v>
      </c>
      <c r="J5" s="2">
        <f t="shared" si="2"/>
        <v>42337</v>
      </c>
      <c r="L5" s="2">
        <f>+L3+L4</f>
        <v>55134</v>
      </c>
      <c r="M5" s="2">
        <f>+M3+M4</f>
        <v>65272</v>
      </c>
      <c r="N5" s="2">
        <f>+N3+N4</f>
        <v>77270</v>
      </c>
      <c r="O5" s="2">
        <f>+O3+O4</f>
        <v>89961</v>
      </c>
      <c r="P5" s="2">
        <f>+P3+P4</f>
        <v>97785</v>
      </c>
      <c r="Q5" s="2">
        <f>+Q3+Q4</f>
        <v>146698</v>
      </c>
    </row>
    <row r="6" spans="2:73" s="2" customFormat="1" x14ac:dyDescent="0.3">
      <c r="B6" s="2" t="s">
        <v>10</v>
      </c>
      <c r="C6" s="2">
        <v>-4500</v>
      </c>
      <c r="D6" s="2">
        <v>-3901</v>
      </c>
      <c r="E6" s="2">
        <v>-4231</v>
      </c>
      <c r="F6" s="2">
        <f t="shared" si="1"/>
        <v>-5314</v>
      </c>
      <c r="G6" s="2">
        <v>-4516</v>
      </c>
      <c r="H6" s="2">
        <v>-5276</v>
      </c>
      <c r="I6" s="2">
        <v>-5516</v>
      </c>
      <c r="J6" s="2">
        <f t="shared" si="2"/>
        <v>-7604</v>
      </c>
      <c r="L6" s="2">
        <v>-10485</v>
      </c>
      <c r="M6" s="2">
        <v>-12893</v>
      </c>
      <c r="N6" s="2">
        <v>-16333</v>
      </c>
      <c r="O6" s="2">
        <v>-18464</v>
      </c>
      <c r="P6" s="2">
        <v>-17946</v>
      </c>
      <c r="Q6" s="2">
        <v>-22912</v>
      </c>
    </row>
    <row r="7" spans="2:73" s="2" customFormat="1" x14ac:dyDescent="0.3">
      <c r="B7" s="2" t="s">
        <v>11</v>
      </c>
      <c r="C7" s="2">
        <v>-6820</v>
      </c>
      <c r="D7" s="2">
        <v>-6875</v>
      </c>
      <c r="E7" s="2">
        <v>-6856</v>
      </c>
      <c r="F7" s="2">
        <f t="shared" si="1"/>
        <v>-7022</v>
      </c>
      <c r="G7" s="2">
        <v>-7485</v>
      </c>
      <c r="H7" s="2">
        <v>-7675</v>
      </c>
      <c r="I7" s="2">
        <v>-7694</v>
      </c>
      <c r="J7" s="2">
        <f t="shared" si="2"/>
        <v>-8708</v>
      </c>
      <c r="L7" s="2">
        <v>-13948</v>
      </c>
      <c r="M7" s="2">
        <v>-16625</v>
      </c>
      <c r="N7" s="2">
        <v>-21419</v>
      </c>
      <c r="O7" s="2">
        <v>-26018</v>
      </c>
      <c r="P7" s="2">
        <v>-27573</v>
      </c>
      <c r="Q7" s="2">
        <v>-31562</v>
      </c>
    </row>
    <row r="8" spans="2:73" s="2" customFormat="1" x14ac:dyDescent="0.3">
      <c r="B8" s="2" t="s">
        <v>12</v>
      </c>
      <c r="C8" s="2">
        <v>-2880</v>
      </c>
      <c r="D8" s="2">
        <v>-2585</v>
      </c>
      <c r="E8" s="2">
        <v>-2756</v>
      </c>
      <c r="F8" s="2">
        <f t="shared" si="1"/>
        <v>-2831</v>
      </c>
      <c r="G8" s="2">
        <v>-2773</v>
      </c>
      <c r="H8" s="2">
        <v>-3341</v>
      </c>
      <c r="I8" s="2">
        <v>-3256</v>
      </c>
      <c r="J8" s="2">
        <f t="shared" si="2"/>
        <v>-4140</v>
      </c>
      <c r="L8" s="2">
        <v>-6985</v>
      </c>
      <c r="M8" s="2">
        <f>-6872-2736</f>
        <v>-9608</v>
      </c>
      <c r="N8" s="2">
        <f>-8126-5071</f>
        <v>-13197</v>
      </c>
      <c r="O8" s="2">
        <f>-9551-1697</f>
        <v>-11248</v>
      </c>
      <c r="P8" s="2">
        <v>-11052</v>
      </c>
      <c r="Q8" s="2">
        <v>-13510</v>
      </c>
    </row>
    <row r="9" spans="2:73" s="2" customFormat="1" x14ac:dyDescent="0.3">
      <c r="B9" s="2" t="s">
        <v>13</v>
      </c>
      <c r="C9" s="2">
        <f>+SUM(C5:C8)</f>
        <v>7977</v>
      </c>
      <c r="D9" s="2">
        <f>+SUM(D5:D8)</f>
        <v>6383</v>
      </c>
      <c r="E9" s="2">
        <f>+SUM(E5:E8)</f>
        <v>11213</v>
      </c>
      <c r="F9" s="2">
        <f t="shared" si="1"/>
        <v>15641</v>
      </c>
      <c r="G9" s="2">
        <f>+SUM(G5:G8)</f>
        <v>16437</v>
      </c>
      <c r="H9" s="2">
        <f>+SUM(H5:H8)</f>
        <v>19361</v>
      </c>
      <c r="I9" s="2">
        <f>+SUM(I5:I8)</f>
        <v>21031</v>
      </c>
      <c r="J9" s="2">
        <f t="shared" si="2"/>
        <v>21885</v>
      </c>
      <c r="L9" s="2">
        <f>+SUM(L5:L8)</f>
        <v>23716</v>
      </c>
      <c r="M9" s="2">
        <f>+SUM(M5:M8)</f>
        <v>26146</v>
      </c>
      <c r="N9" s="2">
        <f>+SUM(N5:N8)</f>
        <v>26321</v>
      </c>
      <c r="O9" s="2">
        <f>+SUM(O5:O8)</f>
        <v>34231</v>
      </c>
      <c r="P9" s="2">
        <f>+SUM(P5:P8)</f>
        <v>41214</v>
      </c>
      <c r="Q9" s="2">
        <f>+SUM(Q5:Q8)</f>
        <v>78714</v>
      </c>
    </row>
    <row r="10" spans="2:73" s="2" customFormat="1" x14ac:dyDescent="0.3">
      <c r="B10" s="2" t="s">
        <v>14</v>
      </c>
      <c r="C10" s="2">
        <v>-220</v>
      </c>
      <c r="D10" s="2">
        <v>1894</v>
      </c>
      <c r="E10" s="2">
        <v>2146</v>
      </c>
      <c r="F10" s="2">
        <f t="shared" si="1"/>
        <v>3038</v>
      </c>
      <c r="G10" s="2">
        <v>4846</v>
      </c>
      <c r="H10" s="2">
        <v>2624</v>
      </c>
      <c r="I10" s="2">
        <v>2033</v>
      </c>
      <c r="J10" s="2">
        <f t="shared" si="2"/>
        <v>2517</v>
      </c>
      <c r="L10" s="2">
        <v>434</v>
      </c>
      <c r="M10" s="2">
        <v>1047</v>
      </c>
      <c r="N10" s="2">
        <v>8592</v>
      </c>
      <c r="O10" s="2">
        <v>5394</v>
      </c>
      <c r="P10" s="2">
        <v>6858</v>
      </c>
      <c r="Q10" s="2">
        <v>12020</v>
      </c>
    </row>
    <row r="11" spans="2:73" s="2" customFormat="1" x14ac:dyDescent="0.3">
      <c r="B11" s="2" t="s">
        <v>15</v>
      </c>
      <c r="C11" s="2">
        <f>+C9+C10</f>
        <v>7757</v>
      </c>
      <c r="D11" s="2">
        <f>+D9+D10</f>
        <v>8277</v>
      </c>
      <c r="E11" s="2">
        <f>+E9+E10</f>
        <v>13359</v>
      </c>
      <c r="F11" s="2">
        <f t="shared" si="1"/>
        <v>18679</v>
      </c>
      <c r="G11" s="2">
        <f>+G9+G10</f>
        <v>21283</v>
      </c>
      <c r="H11" s="2">
        <f>+H9+H10</f>
        <v>21985</v>
      </c>
      <c r="I11" s="2">
        <f>+I9+I10</f>
        <v>23064</v>
      </c>
      <c r="J11" s="2">
        <f t="shared" si="2"/>
        <v>24402</v>
      </c>
      <c r="L11" s="2">
        <f>+L9+L10</f>
        <v>24150</v>
      </c>
      <c r="M11" s="2">
        <f>+M9+M10</f>
        <v>27193</v>
      </c>
      <c r="N11" s="2">
        <f>+N9+N10</f>
        <v>34913</v>
      </c>
      <c r="O11" s="2">
        <f>+O9+O10</f>
        <v>39625</v>
      </c>
      <c r="P11" s="2">
        <f>+P9+P10</f>
        <v>48072</v>
      </c>
      <c r="Q11" s="2">
        <f>+Q9+Q10</f>
        <v>90734</v>
      </c>
    </row>
    <row r="12" spans="2:73" s="2" customFormat="1" x14ac:dyDescent="0.3">
      <c r="B12" s="2" t="s">
        <v>16</v>
      </c>
      <c r="C12" s="2">
        <v>-921</v>
      </c>
      <c r="D12" s="2">
        <v>-1318</v>
      </c>
      <c r="E12" s="2">
        <v>-2112</v>
      </c>
      <c r="F12" s="2">
        <f t="shared" si="1"/>
        <v>-3462</v>
      </c>
      <c r="G12" s="2">
        <v>-3353</v>
      </c>
      <c r="H12" s="2">
        <v>-3460</v>
      </c>
      <c r="I12" s="2">
        <v>-4128</v>
      </c>
      <c r="J12" s="2">
        <f t="shared" si="2"/>
        <v>-3760</v>
      </c>
      <c r="L12" s="2">
        <v>-4672</v>
      </c>
      <c r="M12" s="2">
        <v>-14531</v>
      </c>
      <c r="N12" s="2">
        <v>-4177</v>
      </c>
      <c r="O12" s="2">
        <v>-5282</v>
      </c>
      <c r="P12" s="2">
        <v>-7813</v>
      </c>
      <c r="Q12" s="2">
        <v>-14701</v>
      </c>
    </row>
    <row r="13" spans="2:73" s="2" customFormat="1" x14ac:dyDescent="0.3">
      <c r="B13" s="2" t="s">
        <v>17</v>
      </c>
      <c r="C13" s="2">
        <f>+C11+C12</f>
        <v>6836</v>
      </c>
      <c r="D13" s="2">
        <f>+D11+D12</f>
        <v>6959</v>
      </c>
      <c r="E13" s="2">
        <f>+E11+E12</f>
        <v>11247</v>
      </c>
      <c r="F13" s="2">
        <f t="shared" si="1"/>
        <v>15217</v>
      </c>
      <c r="G13" s="2">
        <f>+G11+G12</f>
        <v>17930</v>
      </c>
      <c r="H13" s="2">
        <f>+H11+H12</f>
        <v>18525</v>
      </c>
      <c r="I13" s="2">
        <f>+I11+I12</f>
        <v>18936</v>
      </c>
      <c r="J13" s="2">
        <f t="shared" si="2"/>
        <v>20642</v>
      </c>
      <c r="L13" s="2">
        <f>+L11+L12</f>
        <v>19478</v>
      </c>
      <c r="M13" s="2">
        <f>+M11+M12</f>
        <v>12662</v>
      </c>
      <c r="N13" s="2">
        <f>+N11+N12</f>
        <v>30736</v>
      </c>
      <c r="O13" s="2">
        <f>+O11+O12</f>
        <v>34343</v>
      </c>
      <c r="P13" s="2">
        <f>+P11+P12</f>
        <v>40259</v>
      </c>
      <c r="Q13" s="2">
        <f>+Q11+Q12</f>
        <v>76033</v>
      </c>
      <c r="R13" s="2">
        <f>+Q13*(1+$C$28)</f>
        <v>81355.31</v>
      </c>
      <c r="S13" s="2">
        <f t="shared" ref="S13:W13" si="3">+R13*(1+$C$28)</f>
        <v>87050.181700000001</v>
      </c>
      <c r="T13" s="2">
        <f t="shared" si="3"/>
        <v>93143.694419000007</v>
      </c>
      <c r="U13" s="2">
        <f t="shared" si="3"/>
        <v>99663.753028330015</v>
      </c>
      <c r="V13" s="2">
        <f t="shared" si="3"/>
        <v>106640.21574031313</v>
      </c>
      <c r="W13" s="2">
        <f>+V13*(1+$D$28)</f>
        <v>110905.82436992566</v>
      </c>
      <c r="X13" s="2">
        <f t="shared" ref="X13:AB13" si="4">+W13*(1+$D$28)</f>
        <v>115342.05734472269</v>
      </c>
      <c r="Y13" s="2">
        <f t="shared" si="4"/>
        <v>119955.7396385116</v>
      </c>
      <c r="Z13" s="2">
        <f t="shared" si="4"/>
        <v>124753.96922405207</v>
      </c>
      <c r="AA13" s="2">
        <f t="shared" si="4"/>
        <v>129744.12799301416</v>
      </c>
      <c r="AB13" s="2">
        <f>+AA13*(1+$E$28)</f>
        <v>132339.01055287445</v>
      </c>
      <c r="AC13" s="2">
        <f t="shared" ref="AC13:BU13" si="5">+AB13*(1+$E$28)</f>
        <v>134985.79076393193</v>
      </c>
      <c r="AD13" s="2">
        <f t="shared" si="5"/>
        <v>137685.50657921057</v>
      </c>
      <c r="AE13" s="2">
        <f t="shared" si="5"/>
        <v>140439.21671079478</v>
      </c>
      <c r="AF13" s="2">
        <f t="shared" si="5"/>
        <v>143248.00104501066</v>
      </c>
      <c r="AG13" s="2">
        <f t="shared" si="5"/>
        <v>146112.96106591087</v>
      </c>
      <c r="AH13" s="2">
        <f t="shared" si="5"/>
        <v>149035.22028722908</v>
      </c>
      <c r="AI13" s="2">
        <f t="shared" si="5"/>
        <v>152015.92469297367</v>
      </c>
      <c r="AJ13" s="2">
        <f t="shared" si="5"/>
        <v>155056.24318683313</v>
      </c>
      <c r="AK13" s="2">
        <f t="shared" si="5"/>
        <v>158157.36805056978</v>
      </c>
      <c r="AL13" s="2">
        <f t="shared" si="5"/>
        <v>161320.51541158117</v>
      </c>
      <c r="AM13" s="2">
        <f t="shared" si="5"/>
        <v>164546.9257198128</v>
      </c>
      <c r="AN13" s="2">
        <f t="shared" si="5"/>
        <v>167837.86423420906</v>
      </c>
      <c r="AO13" s="2">
        <f t="shared" si="5"/>
        <v>171194.62151889325</v>
      </c>
      <c r="AP13" s="2">
        <f t="shared" si="5"/>
        <v>174618.51394927112</v>
      </c>
      <c r="AQ13" s="2">
        <f t="shared" si="5"/>
        <v>178110.88422825653</v>
      </c>
      <c r="AR13" s="2">
        <f t="shared" si="5"/>
        <v>181673.10191282167</v>
      </c>
      <c r="AS13" s="2">
        <f t="shared" si="5"/>
        <v>185306.5639510781</v>
      </c>
      <c r="AT13" s="2">
        <f t="shared" si="5"/>
        <v>189012.69523009966</v>
      </c>
      <c r="AU13" s="2">
        <f t="shared" si="5"/>
        <v>192792.94913470166</v>
      </c>
      <c r="AV13" s="2">
        <f t="shared" si="5"/>
        <v>196648.8081173957</v>
      </c>
      <c r="AW13" s="2">
        <f t="shared" si="5"/>
        <v>200581.78427974362</v>
      </c>
      <c r="AX13" s="2">
        <f t="shared" si="5"/>
        <v>204593.41996533849</v>
      </c>
      <c r="AY13" s="2">
        <f t="shared" si="5"/>
        <v>208685.28836464527</v>
      </c>
      <c r="AZ13" s="2">
        <f t="shared" si="5"/>
        <v>212858.99413193818</v>
      </c>
      <c r="BA13" s="2">
        <f t="shared" si="5"/>
        <v>217116.17401457694</v>
      </c>
      <c r="BB13" s="2">
        <f t="shared" si="5"/>
        <v>221458.4974948685</v>
      </c>
      <c r="BC13" s="2">
        <f t="shared" si="5"/>
        <v>225887.66744476586</v>
      </c>
      <c r="BD13" s="2">
        <f t="shared" si="5"/>
        <v>230405.42079366118</v>
      </c>
      <c r="BE13" s="2">
        <f t="shared" si="5"/>
        <v>235013.5292095344</v>
      </c>
      <c r="BF13" s="2">
        <f t="shared" si="5"/>
        <v>239713.79979372511</v>
      </c>
      <c r="BG13" s="2">
        <f t="shared" si="5"/>
        <v>244508.07578959962</v>
      </c>
      <c r="BH13" s="2">
        <f t="shared" si="5"/>
        <v>249398.23730539161</v>
      </c>
      <c r="BI13" s="2">
        <f t="shared" si="5"/>
        <v>254386.20205149945</v>
      </c>
      <c r="BJ13" s="2">
        <f t="shared" si="5"/>
        <v>259473.92609252944</v>
      </c>
      <c r="BK13" s="2">
        <f t="shared" si="5"/>
        <v>264663.40461438004</v>
      </c>
      <c r="BL13" s="2">
        <f t="shared" si="5"/>
        <v>269956.67270666762</v>
      </c>
      <c r="BM13" s="2">
        <f t="shared" si="5"/>
        <v>275355.80616080097</v>
      </c>
      <c r="BN13" s="2">
        <f t="shared" si="5"/>
        <v>280862.92228401703</v>
      </c>
      <c r="BO13" s="2">
        <f t="shared" si="5"/>
        <v>286480.1807296974</v>
      </c>
      <c r="BP13" s="2">
        <f t="shared" si="5"/>
        <v>292209.78434429137</v>
      </c>
      <c r="BQ13" s="2">
        <f t="shared" si="5"/>
        <v>298053.98003117723</v>
      </c>
      <c r="BR13" s="2">
        <f t="shared" si="5"/>
        <v>304015.0596318008</v>
      </c>
      <c r="BS13" s="2">
        <f t="shared" si="5"/>
        <v>310095.36082443682</v>
      </c>
      <c r="BT13" s="2">
        <f t="shared" si="5"/>
        <v>316297.26804092556</v>
      </c>
      <c r="BU13" s="2">
        <f t="shared" si="5"/>
        <v>322623.21340174408</v>
      </c>
    </row>
    <row r="15" spans="2:73" s="1" customFormat="1" x14ac:dyDescent="0.3">
      <c r="B15" s="1" t="s">
        <v>1</v>
      </c>
      <c r="C15" s="1">
        <f t="shared" ref="C15:E15" si="6">300.737081+45.843112+327.556472</f>
        <v>674.13666499999999</v>
      </c>
      <c r="D15" s="1">
        <f t="shared" si="6"/>
        <v>674.13666499999999</v>
      </c>
      <c r="E15" s="1">
        <f t="shared" si="6"/>
        <v>674.13666499999999</v>
      </c>
      <c r="F15" s="1">
        <f>300.737081+45.843112+327.556472</f>
        <v>674.13666499999999</v>
      </c>
      <c r="G15" s="1">
        <f>300.746844+45.836948+323.580001</f>
        <v>670.16379299999994</v>
      </c>
      <c r="H15" s="1">
        <f>301.084627+45.501786+320.168491</f>
        <v>666.75490400000001</v>
      </c>
      <c r="I15" s="1">
        <f>300.809676+45.21654+317.737778</f>
        <v>663.76399400000003</v>
      </c>
      <c r="J15" s="1">
        <f>300.754904+44.576928+315.639479</f>
        <v>660.97131100000001</v>
      </c>
      <c r="L15" s="1">
        <f>298.492525+46.961288+349.843717</f>
        <v>695.29753000000005</v>
      </c>
      <c r="M15" s="1">
        <f>299.360029+46.535019+349.291348</f>
        <v>695.18639600000006</v>
      </c>
      <c r="N15" s="1">
        <f>299.360029+46.535019+349.291348</f>
        <v>695.18639600000006</v>
      </c>
      <c r="O15" s="1">
        <f>299.895185+46.411073+340.979832</f>
        <v>687.28609000000006</v>
      </c>
      <c r="P15" s="1">
        <f>300.737081+45.843112+327.556472</f>
        <v>674.13666499999999</v>
      </c>
      <c r="Q15" s="1">
        <f>300.754904+44.576928+315.639479</f>
        <v>660.97131100000001</v>
      </c>
    </row>
    <row r="16" spans="2:73" s="3" customFormat="1" x14ac:dyDescent="0.3">
      <c r="B16" s="3" t="s">
        <v>18</v>
      </c>
      <c r="C16" s="3">
        <f>+C13/C15</f>
        <v>10.140377099946047</v>
      </c>
      <c r="D16" s="3">
        <f>+D13/D15</f>
        <v>10.322832685565322</v>
      </c>
      <c r="E16" s="3">
        <f>+E13/E15</f>
        <v>16.683560743577122</v>
      </c>
      <c r="F16" s="3">
        <f>+F13/F15</f>
        <v>22.572574360719575</v>
      </c>
      <c r="G16" s="3">
        <f>+G13/G15</f>
        <v>26.754653395606528</v>
      </c>
      <c r="H16" s="3">
        <f>+H13/H15</f>
        <v>27.78382264437008</v>
      </c>
      <c r="I16" s="3">
        <f>+I13/I15</f>
        <v>28.528212092203361</v>
      </c>
      <c r="J16" s="3">
        <f>+J13/J15</f>
        <v>31.229797203709495</v>
      </c>
      <c r="L16" s="3">
        <f>+L13/L15</f>
        <v>28.013906507045981</v>
      </c>
      <c r="M16" s="3">
        <f>+M13/M15</f>
        <v>18.213820168022963</v>
      </c>
      <c r="N16" s="3">
        <f>+N13/N15</f>
        <v>44.212602802428826</v>
      </c>
      <c r="O16" s="3">
        <f>+O13/O15</f>
        <v>49.969001991586936</v>
      </c>
      <c r="P16" s="3">
        <f>+P13/P15</f>
        <v>59.719344889808063</v>
      </c>
      <c r="Q16" s="3">
        <f>+Q13/Q15</f>
        <v>115.03222414444551</v>
      </c>
    </row>
    <row r="18" spans="2:17" s="4" customFormat="1" x14ac:dyDescent="0.3">
      <c r="B18" s="4" t="s">
        <v>19</v>
      </c>
      <c r="D18" s="4">
        <f>+D3/C3-1</f>
        <v>-6.9535217084963241E-2</v>
      </c>
      <c r="E18" s="4">
        <f t="shared" ref="E18:J18" si="7">+E3/D3-1</f>
        <v>0.20565579549311952</v>
      </c>
      <c r="F18" s="4">
        <f t="shared" si="7"/>
        <v>0.23206202759188277</v>
      </c>
      <c r="G18" s="4">
        <f t="shared" si="7"/>
        <v>-2.7668401068766668E-2</v>
      </c>
      <c r="H18" s="4">
        <f t="shared" si="7"/>
        <v>0.11870412553783849</v>
      </c>
      <c r="I18" s="4">
        <f t="shared" si="7"/>
        <v>5.2327084680025893E-2</v>
      </c>
      <c r="J18" s="4">
        <f t="shared" si="7"/>
        <v>0.15674621456432947</v>
      </c>
      <c r="M18" s="4">
        <f t="shared" ref="L18:Q18" si="8">+M3/L3-1</f>
        <v>0.22801090038993266</v>
      </c>
      <c r="N18" s="4">
        <f t="shared" si="8"/>
        <v>0.23421586757475987</v>
      </c>
      <c r="O18" s="4">
        <f t="shared" si="8"/>
        <v>0.18300089899794614</v>
      </c>
      <c r="P18" s="4">
        <f t="shared" si="8"/>
        <v>0.12764353719641419</v>
      </c>
      <c r="Q18" s="4">
        <f t="shared" si="8"/>
        <v>0.41157809957428615</v>
      </c>
    </row>
    <row r="20" spans="2:17" s="4" customFormat="1" x14ac:dyDescent="0.3">
      <c r="B20" s="4" t="s">
        <v>20</v>
      </c>
      <c r="C20" s="4">
        <f>+C5/C3</f>
        <v>0.53881289632887097</v>
      </c>
      <c r="D20" s="4">
        <f t="shared" ref="D20:J20" si="9">+D5/D3</f>
        <v>0.51554952085019712</v>
      </c>
      <c r="E20" s="4">
        <f t="shared" si="9"/>
        <v>0.54265479825872265</v>
      </c>
      <c r="F20" s="4">
        <f t="shared" si="9"/>
        <v>0.54155533680213752</v>
      </c>
      <c r="G20" s="4">
        <f t="shared" si="9"/>
        <v>0.56425136493473627</v>
      </c>
      <c r="H20" s="4">
        <f t="shared" si="9"/>
        <v>0.57616354234001288</v>
      </c>
      <c r="I20" s="4">
        <f t="shared" si="9"/>
        <v>0.57583156730857832</v>
      </c>
      <c r="J20" s="4">
        <f t="shared" si="9"/>
        <v>0.56205774975107869</v>
      </c>
      <c r="L20" s="4">
        <f t="shared" ref="L20:Q20" si="10">+L5/L3</f>
        <v>0.61075416518964909</v>
      </c>
      <c r="M20" s="4">
        <f t="shared" si="10"/>
        <v>0.58880519597672631</v>
      </c>
      <c r="N20" s="4">
        <f t="shared" si="10"/>
        <v>0.5647607422945643</v>
      </c>
      <c r="O20" s="4">
        <f t="shared" si="10"/>
        <v>0.5558054331910266</v>
      </c>
      <c r="P20" s="4">
        <f t="shared" si="10"/>
        <v>0.53575831292427556</v>
      </c>
      <c r="Q20" s="4">
        <f t="shared" si="10"/>
        <v>0.5693980290098084</v>
      </c>
    </row>
    <row r="21" spans="2:17" s="4" customFormat="1" x14ac:dyDescent="0.3">
      <c r="B21" s="4" t="s">
        <v>21</v>
      </c>
      <c r="C21" s="4">
        <f>+C9/C3</f>
        <v>0.1938093734055735</v>
      </c>
      <c r="D21" s="4">
        <f t="shared" ref="D21:J21" si="11">+D9/D3</f>
        <v>0.1666710186176463</v>
      </c>
      <c r="E21" s="4">
        <f t="shared" si="11"/>
        <v>0.24284755159941956</v>
      </c>
      <c r="F21" s="4">
        <f t="shared" si="11"/>
        <v>0.27494374912107999</v>
      </c>
      <c r="G21" s="4">
        <f t="shared" si="11"/>
        <v>0.29715804317171057</v>
      </c>
      <c r="H21" s="4">
        <f t="shared" si="11"/>
        <v>0.312879767291532</v>
      </c>
      <c r="I21" s="4">
        <f t="shared" si="11"/>
        <v>0.32296753585798088</v>
      </c>
      <c r="J21" s="4">
        <f t="shared" si="11"/>
        <v>0.29054098904746101</v>
      </c>
      <c r="L21" s="4">
        <f t="shared" ref="L21:Q21" si="12">+L9/L3</f>
        <v>0.26271712158808935</v>
      </c>
      <c r="M21" s="4">
        <f t="shared" si="12"/>
        <v>0.23585765188760091</v>
      </c>
      <c r="N21" s="4">
        <f t="shared" si="12"/>
        <v>0.19237825155862856</v>
      </c>
      <c r="O21" s="4">
        <f t="shared" si="12"/>
        <v>0.21148915400631421</v>
      </c>
      <c r="P21" s="4">
        <f t="shared" si="12"/>
        <v>0.22580910271371982</v>
      </c>
      <c r="Q21" s="4">
        <f t="shared" si="12"/>
        <v>0.3055228868524319</v>
      </c>
    </row>
    <row r="22" spans="2:17" s="4" customFormat="1" x14ac:dyDescent="0.3">
      <c r="B22" s="4" t="s">
        <v>22</v>
      </c>
      <c r="C22" s="4">
        <f>+C13/C3</f>
        <v>0.16608761145800433</v>
      </c>
      <c r="D22" s="4">
        <f t="shared" ref="D22:J22" si="13">+D13/D3</f>
        <v>0.1817113612032274</v>
      </c>
      <c r="E22" s="4">
        <f t="shared" si="13"/>
        <v>0.24358391267623936</v>
      </c>
      <c r="F22" s="4">
        <f t="shared" si="13"/>
        <v>0.26749050766418225</v>
      </c>
      <c r="G22" s="4">
        <f t="shared" si="13"/>
        <v>0.32414940159814876</v>
      </c>
      <c r="H22" s="4">
        <f t="shared" si="13"/>
        <v>0.29936974789915966</v>
      </c>
      <c r="I22" s="4">
        <f t="shared" si="13"/>
        <v>0.29079517184188702</v>
      </c>
      <c r="J22" s="4">
        <f t="shared" si="13"/>
        <v>0.2740391636242947</v>
      </c>
      <c r="L22" s="4">
        <f t="shared" ref="L22:Q22" si="14">+L13/L3</f>
        <v>0.2157701169797944</v>
      </c>
      <c r="M22" s="4">
        <f t="shared" si="14"/>
        <v>0.11422128005051645</v>
      </c>
      <c r="N22" s="4">
        <f t="shared" si="14"/>
        <v>0.22464716157843576</v>
      </c>
      <c r="O22" s="4">
        <f t="shared" si="14"/>
        <v>0.21218112284300339</v>
      </c>
      <c r="P22" s="4">
        <f t="shared" si="14"/>
        <v>0.22057671340203927</v>
      </c>
      <c r="Q22" s="4">
        <f t="shared" si="14"/>
        <v>0.29511677282377918</v>
      </c>
    </row>
    <row r="23" spans="2:17" s="4" customFormat="1" x14ac:dyDescent="0.3">
      <c r="B23" s="4" t="s">
        <v>23</v>
      </c>
      <c r="C23" s="4">
        <f>ABS(C12/C11)</f>
        <v>0.11873146835116669</v>
      </c>
      <c r="D23" s="4">
        <f t="shared" ref="D23:J23" si="15">ABS(D12/D11)</f>
        <v>0.15923643832306392</v>
      </c>
      <c r="E23" s="4">
        <f t="shared" si="15"/>
        <v>0.15809566584325174</v>
      </c>
      <c r="F23" s="4">
        <f t="shared" si="15"/>
        <v>0.18534182772097008</v>
      </c>
      <c r="G23" s="4">
        <f t="shared" si="15"/>
        <v>0.15754357938260583</v>
      </c>
      <c r="H23" s="4">
        <f t="shared" si="15"/>
        <v>0.15738003183989083</v>
      </c>
      <c r="I23" s="4">
        <f t="shared" si="15"/>
        <v>0.17898022892819979</v>
      </c>
      <c r="J23" s="4">
        <f>ABS(J12/J11)</f>
        <v>0.15408573067781328</v>
      </c>
      <c r="L23" s="4">
        <f t="shared" ref="L23:Q23" si="16">ABS(L12/L11)</f>
        <v>0.19345755693581781</v>
      </c>
      <c r="M23" s="4">
        <f t="shared" si="16"/>
        <v>0.53436546169970212</v>
      </c>
      <c r="N23" s="4">
        <f t="shared" si="16"/>
        <v>0.1196402486179933</v>
      </c>
      <c r="O23" s="4">
        <f t="shared" si="16"/>
        <v>0.13329968454258675</v>
      </c>
      <c r="P23" s="4">
        <f t="shared" si="16"/>
        <v>0.16252704276917956</v>
      </c>
      <c r="Q23" s="4">
        <f t="shared" si="16"/>
        <v>0.16202305640663919</v>
      </c>
    </row>
    <row r="25" spans="2:17" x14ac:dyDescent="0.3">
      <c r="B25" s="4" t="s">
        <v>0</v>
      </c>
      <c r="C25" s="1">
        <v>2722.51</v>
      </c>
    </row>
    <row r="26" spans="2:17" x14ac:dyDescent="0.3">
      <c r="B26" s="4" t="s">
        <v>1</v>
      </c>
      <c r="C26" s="1">
        <f>300.809676+45.21654+317.737778</f>
        <v>663.76399400000003</v>
      </c>
    </row>
    <row r="27" spans="2:17" x14ac:dyDescent="0.3">
      <c r="B27" s="4" t="s">
        <v>2</v>
      </c>
      <c r="C27" s="1">
        <f>+C25*C26</f>
        <v>1807104.1113049402</v>
      </c>
    </row>
    <row r="28" spans="2:17" s="4" customFormat="1" x14ac:dyDescent="0.3">
      <c r="B28" s="4" t="s">
        <v>32</v>
      </c>
      <c r="C28" s="4">
        <v>7.0000000000000007E-2</v>
      </c>
      <c r="D28" s="4">
        <v>0.04</v>
      </c>
      <c r="E28" s="4">
        <v>0.02</v>
      </c>
    </row>
    <row r="29" spans="2:17" s="4" customFormat="1" x14ac:dyDescent="0.3">
      <c r="B29" s="4" t="s">
        <v>33</v>
      </c>
      <c r="C29" s="4">
        <v>0.06</v>
      </c>
    </row>
    <row r="30" spans="2:17" x14ac:dyDescent="0.3">
      <c r="B30" s="4" t="s">
        <v>34</v>
      </c>
      <c r="C30" s="2">
        <f>+R13+NPV(C29, S13:BU13)</f>
        <v>2438093.7894145916</v>
      </c>
    </row>
    <row r="31" spans="2:17" s="1" customFormat="1" x14ac:dyDescent="0.3">
      <c r="B31" s="5" t="s">
        <v>35</v>
      </c>
      <c r="C31" s="1">
        <f>+C30/C26</f>
        <v>3673.133540615931</v>
      </c>
    </row>
    <row r="32" spans="2:17" s="1" customFormat="1" x14ac:dyDescent="0.3">
      <c r="B32" s="5" t="s">
        <v>36</v>
      </c>
      <c r="C32" s="1">
        <f>+C31-C25</f>
        <v>950.62354061593078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Overview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Gebruiker</dc:creator>
  <cp:lastModifiedBy>Thymen van de Lagemaat</cp:lastModifiedBy>
  <dcterms:created xsi:type="dcterms:W3CDTF">2022-03-21T11:06:01Z</dcterms:created>
  <dcterms:modified xsi:type="dcterms:W3CDTF">2022-03-21T12:41:17Z</dcterms:modified>
</cp:coreProperties>
</file>